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25" firstSheet="7" activeTab="13"/>
  </bookViews>
  <sheets>
    <sheet name="JULY-2015" sheetId="1" r:id="rId1"/>
    <sheet name="AUGUST-2015  " sheetId="2" r:id="rId2"/>
    <sheet name="SEPTEMBER-2015  " sheetId="3" r:id="rId3"/>
    <sheet name="OCTOBER-2015  " sheetId="4" r:id="rId4"/>
    <sheet name="JULAI - 2016  " sheetId="5" r:id="rId5"/>
    <sheet name="MAPATO MPYA" sheetId="6" r:id="rId6"/>
    <sheet name="NOTICE" sheetId="7" r:id="rId7"/>
    <sheet name="julai fum 2018" sheetId="8" r:id="rId8"/>
    <sheet name="AGOST FUM 2018" sheetId="9" r:id="rId9"/>
    <sheet name="RSO" sheetId="10" r:id="rId10"/>
    <sheet name="sept FUM" sheetId="11" r:id="rId11"/>
    <sheet name="DSO" sheetId="12" r:id="rId12"/>
    <sheet name="oktoba" sheetId="13" r:id="rId13"/>
    <sheet name="Nov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  <comment ref="B7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Beekeeping 12M
Env &amp; Sant  12M
N/Resource  12M
Planning       12M
Com Dev      12M
Cooperative  12M
Trade          12M
Land Adm    12M
Internal Aud 18M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  <comment ref="B7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Beekeeping 12M
Env &amp; Sant  12M
N/Resource  12M
Planning       12M
Com Dev      12M
Cooperative  12M
Trade          12M
Land Adm    12M
Internal Aud 18M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  <comment ref="B7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Beekeeping 12M
Env &amp; Sant  12M
N/Resource  12M
Planning       12M
Com Dev      12M
Cooperative  12M
Trade          12M
Land Adm    12M
Internal Aud 18M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  <comment ref="B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Beekeeping 12M
Env &amp; Sant  12M
N/Resource  12M
Planning       12M
Com Dev      12M
Cooperative  12M
Trade          12M
Land Adm    12M
Internal Aud 18M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7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Non-capital grants only</t>
        </r>
      </text>
    </comment>
    <comment ref="C108" authorId="0">
      <text>
        <r>
          <rPr>
            <b/>
            <i/>
            <sz val="8"/>
            <rFont val="Tahoma"/>
            <family val="2"/>
          </rPr>
          <t>Author:</t>
        </r>
        <r>
          <rPr>
            <i/>
            <sz val="8"/>
            <rFont val="Tahoma"/>
            <family val="2"/>
          </rPr>
          <t xml:space="preserve">
Earned &amp; recognized in IS to the tune of expenditure: </t>
        </r>
      </text>
    </comment>
    <comment ref="C7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Eastern and Southern African Universities Research Programme</t>
        </r>
      </text>
    </comment>
    <comment ref="C9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Previously GOLD AUDIT
</t>
        </r>
      </text>
    </comment>
    <comment ref="C994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Soko Kuu 34,848,000.00
Kazaroho  13,200,000.00
Namanga 11,080,000.00</t>
        </r>
      </text>
    </comment>
  </commentList>
</comments>
</file>

<file path=xl/sharedStrings.xml><?xml version="1.0" encoding="utf-8"?>
<sst xmlns="http://schemas.openxmlformats.org/spreadsheetml/2006/main" count="2343" uniqueCount="1260">
  <si>
    <t>MAELEZO</t>
  </si>
  <si>
    <t>ASILIMIA %</t>
  </si>
  <si>
    <t>ALIBAKI</t>
  </si>
  <si>
    <t>Jumla</t>
  </si>
  <si>
    <t>IDARA YA FEDHA</t>
  </si>
  <si>
    <t>Kodi ya Huduma</t>
  </si>
  <si>
    <t>Kodi Mbalimbali(Mapato Mengineyo)</t>
  </si>
  <si>
    <t>Ada ya Zabuni</t>
  </si>
  <si>
    <t>Ushuru wa Magulio</t>
  </si>
  <si>
    <t>Ushuru wa Meza Sokoni</t>
  </si>
  <si>
    <t>KITENGO CHA BIASHARA</t>
  </si>
  <si>
    <t>Ushuru wa Nyumba za Kulala Wageni</t>
  </si>
  <si>
    <t>Ada ya Maombi Pombe za Kigeni</t>
  </si>
  <si>
    <t>Ada ya Leseni za Biashara</t>
  </si>
  <si>
    <t>Ushuru wa Mbao za Matangazo</t>
  </si>
  <si>
    <t xml:space="preserve">IDARA YA KILIMO </t>
  </si>
  <si>
    <t>Ushuru Mazao Mchanganyiko</t>
  </si>
  <si>
    <t>Ushuru wa Mpunga/Mchele</t>
  </si>
  <si>
    <t>IDARA YA MIFUGO</t>
  </si>
  <si>
    <t>Ushuru wa Minada</t>
  </si>
  <si>
    <t>Ushuru wa Machinjio</t>
  </si>
  <si>
    <t>IDARA YA ARIDHI</t>
  </si>
  <si>
    <t>Kodi ya Aridhi(30%)</t>
  </si>
  <si>
    <t>Gharama za Usafishaji na Upimaji Viwanja</t>
  </si>
  <si>
    <t>KITENGO CHA MALIASILI</t>
  </si>
  <si>
    <t>Leseni za Mazao ya Misitu</t>
  </si>
  <si>
    <t>Ushuru wa Magobore</t>
  </si>
  <si>
    <t>IDARA YA AFYA</t>
  </si>
  <si>
    <t>KITENGO CHA SHERIA</t>
  </si>
  <si>
    <t>Adhabu na Faini Nyinginezo</t>
  </si>
  <si>
    <t>JUMLA YA MAPATO YA NDANI</t>
  </si>
  <si>
    <t>Afya</t>
  </si>
  <si>
    <t>Ujenzi</t>
  </si>
  <si>
    <t>Mifugo</t>
  </si>
  <si>
    <t>Elimu Msingi Capitation</t>
  </si>
  <si>
    <t>Maji</t>
  </si>
  <si>
    <t>JUMLA  MAPATO YA MATUMIZI MENGINEYO</t>
  </si>
  <si>
    <t>MIRADI YA MAENDELEO</t>
  </si>
  <si>
    <t>SEDP-Secondary Education Dev Program</t>
  </si>
  <si>
    <t>Road Fund</t>
  </si>
  <si>
    <t>NRWSSP</t>
  </si>
  <si>
    <t>HSBF-Heath Sector Busket Fund</t>
  </si>
  <si>
    <t>JUMLA YA MIRADI YA MAENDELEO</t>
  </si>
  <si>
    <t>JUMLA KUU</t>
  </si>
  <si>
    <t>MAPATO YA RUZUKU (OC)</t>
  </si>
  <si>
    <t>HALMASHAURI YA   MSALALA</t>
  </si>
  <si>
    <t>Ushuru wa  pamba</t>
  </si>
  <si>
    <t>Ushuru  wa mahindi</t>
  </si>
  <si>
    <t>CHF</t>
  </si>
  <si>
    <t xml:space="preserve">Cost sharing </t>
  </si>
  <si>
    <t xml:space="preserve">NHIF </t>
  </si>
  <si>
    <t>School  fees</t>
  </si>
  <si>
    <t>Elimu  Msingi</t>
  </si>
  <si>
    <t xml:space="preserve"> </t>
  </si>
  <si>
    <t>IDARA YA  ELIMU  SEKONDARI</t>
  </si>
  <si>
    <t>Elimu   Sekondari</t>
  </si>
  <si>
    <t>Elimu Sekondari Capitation</t>
  </si>
  <si>
    <t>Mrabaha</t>
  </si>
  <si>
    <t>Ushuru utokanao na Bima</t>
  </si>
  <si>
    <t>S/NO</t>
  </si>
  <si>
    <t>DESCRIPTION</t>
  </si>
  <si>
    <t>Land Rent</t>
  </si>
  <si>
    <t>Service Levy</t>
  </si>
  <si>
    <t>JUMLA</t>
  </si>
  <si>
    <t>COUNCIL NAME-MSALALA</t>
  </si>
  <si>
    <t>REGION -SHINYANGA</t>
  </si>
  <si>
    <t xml:space="preserve">                 </t>
  </si>
  <si>
    <t>Ushuru wa Mabasi Stendi</t>
  </si>
  <si>
    <t>Ushuru wa Ngozi</t>
  </si>
  <si>
    <t>Ushuru wa Dengu</t>
  </si>
  <si>
    <t>Ushuru wa Matunda</t>
  </si>
  <si>
    <t>Mkaguzi wa Ndani</t>
  </si>
  <si>
    <t>Mipango</t>
  </si>
  <si>
    <t>Mazingira</t>
  </si>
  <si>
    <t>Ardhi</t>
  </si>
  <si>
    <t>Maliasili</t>
  </si>
  <si>
    <t>Nyuki</t>
  </si>
  <si>
    <t>Ushirika</t>
  </si>
  <si>
    <t>Maendeleo ya Jamii</t>
  </si>
  <si>
    <t>PE-MISHAHARA</t>
  </si>
  <si>
    <t>NMSF</t>
  </si>
  <si>
    <t>THE UNITED REPUBLIC OF TANZANIA</t>
  </si>
  <si>
    <t>PRIME MINISTER’S OFFICE - REGIONAL ADMINISTRATION AND LOCAL GOVERNMENT</t>
  </si>
  <si>
    <t>XXXXX  COUNCIL</t>
  </si>
  <si>
    <t>NOTES TO THE FINANCIAL STATEMENTS (Continued)</t>
  </si>
  <si>
    <t>FOR THE YEAR ENDED 30 JUNE 20XX</t>
  </si>
  <si>
    <t>Note</t>
  </si>
  <si>
    <t>Description</t>
  </si>
  <si>
    <t>Code Range</t>
  </si>
  <si>
    <t>FY2</t>
  </si>
  <si>
    <t>FY1</t>
  </si>
  <si>
    <t>Local Taxes</t>
  </si>
  <si>
    <t>Property rates</t>
  </si>
  <si>
    <t>Produce cess</t>
  </si>
  <si>
    <t xml:space="preserve">110803 - 110850 </t>
  </si>
  <si>
    <t>Beans Crop cess</t>
  </si>
  <si>
    <t>Cloves Crop cess</t>
  </si>
  <si>
    <t>Coffee Crop cess</t>
  </si>
  <si>
    <t>Cotton Crop cess</t>
  </si>
  <si>
    <t>Maize Crop cess</t>
  </si>
  <si>
    <t>Other export crop cess</t>
  </si>
  <si>
    <t>Other food crop cess</t>
  </si>
  <si>
    <t>Rice Crop cess</t>
  </si>
  <si>
    <t>Sisal Crop cess</t>
  </si>
  <si>
    <t>Tea Crop cess</t>
  </si>
  <si>
    <t>Tobacco Crop cess</t>
  </si>
  <si>
    <t>Charcoal produce cess</t>
  </si>
  <si>
    <t>Other produce cess</t>
  </si>
  <si>
    <t>Timber produce cess</t>
  </si>
  <si>
    <t>Guest House Levy</t>
  </si>
  <si>
    <t>Other Levies on Business Activity</t>
  </si>
  <si>
    <t>110853 - 110899</t>
  </si>
  <si>
    <t>Fees, Fines, Penalties And Licenses</t>
  </si>
  <si>
    <t>Tender fee</t>
  </si>
  <si>
    <t>Insurance commission service fee</t>
  </si>
  <si>
    <t>Land survey service fee</t>
  </si>
  <si>
    <t>Livestock dipping service fee</t>
  </si>
  <si>
    <t>Magulio fees</t>
  </si>
  <si>
    <t>Market stalls / slabs dues</t>
  </si>
  <si>
    <t>Meat inspection charges</t>
  </si>
  <si>
    <t>Sanitation fees and charges</t>
  </si>
  <si>
    <t>Plot application fee</t>
  </si>
  <si>
    <t>Livestock market fee</t>
  </si>
  <si>
    <t>Abattoir slaughter service fee</t>
  </si>
  <si>
    <t>Advertising fee</t>
  </si>
  <si>
    <t>Royalties Fee</t>
  </si>
  <si>
    <t>Commercial fishing license fees</t>
  </si>
  <si>
    <t>Intoxicating liquor license fee</t>
  </si>
  <si>
    <t>Other business licence fees</t>
  </si>
  <si>
    <t>Private health facility license fee</t>
  </si>
  <si>
    <t>Plying permit fees</t>
  </si>
  <si>
    <t>Taxi license fee</t>
  </si>
  <si>
    <t xml:space="preserve">      Building materials extraction license fee</t>
  </si>
  <si>
    <t xml:space="preserve">      Forest produce license fees</t>
  </si>
  <si>
    <t xml:space="preserve">      Hunting licenses fees</t>
  </si>
  <si>
    <t xml:space="preserve">      Muzzle loading guns license fees</t>
  </si>
  <si>
    <t xml:space="preserve">      Scaffolding / Hoarding permit fees</t>
  </si>
  <si>
    <t xml:space="preserve">      Building permit fee</t>
  </si>
  <si>
    <t xml:space="preserve">      Fishing vessel licence fees</t>
  </si>
  <si>
    <t xml:space="preserve">      Vehicle licence fees</t>
  </si>
  <si>
    <t xml:space="preserve">      By law fines</t>
  </si>
  <si>
    <t>Other fines and penalties</t>
  </si>
  <si>
    <t>Stray animals penalty</t>
  </si>
  <si>
    <t>Share of fines imposed by Magistrates Court</t>
  </si>
  <si>
    <t>Permit fees for billboards, posters or hoarding</t>
  </si>
  <si>
    <t>Refuse collection service fee</t>
  </si>
  <si>
    <t>Artificial insemination service fee</t>
  </si>
  <si>
    <t>Auction mart fees</t>
  </si>
  <si>
    <t>Building valuation service fee</t>
  </si>
  <si>
    <t>Central bus stand fees</t>
  </si>
  <si>
    <t>Parking fees</t>
  </si>
  <si>
    <t>Cesspit emptying service fee</t>
  </si>
  <si>
    <t>Clean water service fee</t>
  </si>
  <si>
    <t>Clearing of blocked drains service fee</t>
  </si>
  <si>
    <t>Fish auction fee</t>
  </si>
  <si>
    <t>Fish landing facilities fee</t>
  </si>
  <si>
    <t>Health facility user charges</t>
  </si>
  <si>
    <t>Recurrent Grants (Amortisation)</t>
  </si>
  <si>
    <t>Balance at the beging of the year</t>
  </si>
  <si>
    <t>Add:Received during the year</t>
  </si>
  <si>
    <t>PE Grants</t>
  </si>
  <si>
    <t>OC Grants</t>
  </si>
  <si>
    <t>LGDG ( CDG and CBG )</t>
  </si>
  <si>
    <t xml:space="preserve">Primary Education Development Program-PEDP </t>
  </si>
  <si>
    <t xml:space="preserve">Secondary Education Development Program-SEDP </t>
  </si>
  <si>
    <t>District Agriculture Sector Investment Project (DASIP);</t>
  </si>
  <si>
    <t>District Irrigation Development Fund (DIDF);</t>
  </si>
  <si>
    <t>Participatory Agriculture Development Empowerment Project (PADEP);</t>
  </si>
  <si>
    <t>GLOBAL FUND</t>
  </si>
  <si>
    <t>Urban Development and Environmental Management (UDEM);</t>
  </si>
  <si>
    <t>CIUP</t>
  </si>
  <si>
    <t>Local Government Transport Programme (LGTP);</t>
  </si>
  <si>
    <t>Participatory Forest Management (PFM);</t>
  </si>
  <si>
    <t>National Water Supply and Sanitation Program (NWSSP)</t>
  </si>
  <si>
    <t>MASEMP</t>
  </si>
  <si>
    <t>Sustainable Wetland Management (SWM);</t>
  </si>
  <si>
    <t xml:space="preserve">Tanzania Strategic Cities Proect -TSCP Fund </t>
  </si>
  <si>
    <t xml:space="preserve">Child Survival Development program UNICEF Grant </t>
  </si>
  <si>
    <t>Village Travel and Transport Programme (VTTP);</t>
  </si>
  <si>
    <t xml:space="preserve">Other Development Grants </t>
  </si>
  <si>
    <t>Tanzania Social Action Fund (TASAF);and</t>
  </si>
  <si>
    <t>Health Sector Development Grants -HSDG</t>
  </si>
  <si>
    <t>Health Sector Basket Fund-HSBF</t>
  </si>
  <si>
    <t>SubTotal</t>
  </si>
  <si>
    <t>Total Recurrent Grants available</t>
  </si>
  <si>
    <t>Less: Amortised during the year</t>
  </si>
  <si>
    <t>Balance at the end of the year</t>
  </si>
  <si>
    <t>Transfers From Other Government Entities</t>
  </si>
  <si>
    <t>Receipts from  Entities</t>
  </si>
  <si>
    <t>Transfer from MSD</t>
  </si>
  <si>
    <t>Revenue From Exchange Transactions</t>
  </si>
  <si>
    <t>Revenue from renting of assets</t>
  </si>
  <si>
    <t>140407</t>
  </si>
  <si>
    <t>Revenue from renting of houses</t>
  </si>
  <si>
    <t>140408</t>
  </si>
  <si>
    <t>Revenue from sale of building plans</t>
  </si>
  <si>
    <t>140409</t>
  </si>
  <si>
    <t>Sale of plots</t>
  </si>
  <si>
    <t>140410</t>
  </si>
  <si>
    <t>Sale of seedlings</t>
  </si>
  <si>
    <t>140411</t>
  </si>
  <si>
    <t>Dividends non-financial joint venture</t>
  </si>
  <si>
    <t>Dividends Other Domestic Property Income</t>
  </si>
  <si>
    <t>Dividends Private and Public Financial Enterprises</t>
  </si>
  <si>
    <t>Dividends from non-financial public enterprises - Local</t>
  </si>
  <si>
    <t>Finance Income</t>
  </si>
  <si>
    <t>Interest</t>
  </si>
  <si>
    <t>Gain On Foreign Currency Translation</t>
  </si>
  <si>
    <t>Exchange gain</t>
  </si>
  <si>
    <t>Other Own Revenue</t>
  </si>
  <si>
    <t>Funds received from Voluntary Contributions</t>
  </si>
  <si>
    <t>Community Contributions</t>
  </si>
  <si>
    <t>Miscellaneous and unidentified revenue</t>
  </si>
  <si>
    <t>Wages, Salaries And Employee Benefits</t>
  </si>
  <si>
    <t>Basic salaries - Pensionable posts</t>
  </si>
  <si>
    <t xml:space="preserve">Civil Servants  </t>
  </si>
  <si>
    <t>Military Payroll</t>
  </si>
  <si>
    <t>Teachers</t>
  </si>
  <si>
    <t>Members of Parliament</t>
  </si>
  <si>
    <t>Public Officers</t>
  </si>
  <si>
    <t>Basic salaries - Non pensionable posts</t>
  </si>
  <si>
    <t>Civil Servants Contracts</t>
  </si>
  <si>
    <t>Operational Service Staff</t>
  </si>
  <si>
    <t>Military</t>
  </si>
  <si>
    <t>Other Uniformed Services</t>
  </si>
  <si>
    <t>Non-Civil Servant Contracts</t>
  </si>
  <si>
    <t>Casual Labourers</t>
  </si>
  <si>
    <t>Local Staff Salaries</t>
  </si>
  <si>
    <t>Employment benefit</t>
  </si>
  <si>
    <t>Leave Travel</t>
  </si>
  <si>
    <t>Internship Allowance</t>
  </si>
  <si>
    <t>Extra-Duty</t>
  </si>
  <si>
    <t xml:space="preserve">Invigilators  Allowances                                                                           </t>
  </si>
  <si>
    <t>Foreign Service Allowance</t>
  </si>
  <si>
    <t>Constituency Allowance</t>
  </si>
  <si>
    <t>MP Personal Assistant's Allowance</t>
  </si>
  <si>
    <t>Acting Allowance</t>
  </si>
  <si>
    <t>Compassionate Leave - Foreign</t>
  </si>
  <si>
    <t>Ambassador's Entertainment Allowance</t>
  </si>
  <si>
    <t>Passages Allowances</t>
  </si>
  <si>
    <t>Responsibility Allowance</t>
  </si>
  <si>
    <t>Outfit Allowance</t>
  </si>
  <si>
    <t>Sitting Allowance</t>
  </si>
  <si>
    <t>Subsistance Allowance</t>
  </si>
  <si>
    <t>Ration Allowance</t>
  </si>
  <si>
    <t>On Call Allowance</t>
  </si>
  <si>
    <t>Postmortem Allowance</t>
  </si>
  <si>
    <t>Medical and Dental Refunds</t>
  </si>
  <si>
    <t>Gratuities</t>
  </si>
  <si>
    <t>Special Allowance</t>
  </si>
  <si>
    <t>Housing allowance</t>
  </si>
  <si>
    <t>Overseas Bursary Allowance</t>
  </si>
  <si>
    <t>Field (Practical Allowance)</t>
  </si>
  <si>
    <t>Military Enrolment</t>
  </si>
  <si>
    <t>Professional Allowances</t>
  </si>
  <si>
    <t>Uniform Allowance</t>
  </si>
  <si>
    <t>Court Attire Allowance</t>
  </si>
  <si>
    <t>Moving Expenses</t>
  </si>
  <si>
    <t>Honoraria</t>
  </si>
  <si>
    <t>Hardship Allowance</t>
  </si>
  <si>
    <t>Risk Allowance</t>
  </si>
  <si>
    <t>Electricity</t>
  </si>
  <si>
    <t>Housing Allowance</t>
  </si>
  <si>
    <t>Food and Refreshment</t>
  </si>
  <si>
    <t xml:space="preserve">Telephone </t>
  </si>
  <si>
    <t>Water and Waste Disposal</t>
  </si>
  <si>
    <t>Household Appliances</t>
  </si>
  <si>
    <t>Furniture</t>
  </si>
  <si>
    <t>Accommodation in Lieu of Quarters</t>
  </si>
  <si>
    <t>Contribution to social security funds</t>
  </si>
  <si>
    <t>Public Service Pension Fund (PSPF)</t>
  </si>
  <si>
    <t>Government Employees Provident Fund (GEPF)</t>
  </si>
  <si>
    <t>Local Authorities Pension Fund (LAPF)</t>
  </si>
  <si>
    <t>Parastatal Pension Fund (PPF)</t>
  </si>
  <si>
    <t>National Health Insurance Schemes(NHIF)</t>
  </si>
  <si>
    <t>National Social Security Fund (NSSF)</t>
  </si>
  <si>
    <t>Community Health Fund</t>
  </si>
  <si>
    <t>National Health Insurance Fund (NHIF)</t>
  </si>
  <si>
    <t>Supplies And Consumables Used</t>
  </si>
  <si>
    <t>Office Consumables (papers,pencils, pens and stationaries)</t>
  </si>
  <si>
    <t>Computer Supplies and Accessories</t>
  </si>
  <si>
    <t>Printing and Photocopy paper</t>
  </si>
  <si>
    <t>Tapes, Films, and Materials (split)</t>
  </si>
  <si>
    <t>Books, Reference and Periodicals</t>
  </si>
  <si>
    <t>Maps</t>
  </si>
  <si>
    <t>Financial Forms</t>
  </si>
  <si>
    <t>Newspapers and Magazines</t>
  </si>
  <si>
    <t>Printing and Photocopying Costs</t>
  </si>
  <si>
    <t>Computer Software</t>
  </si>
  <si>
    <t>Software License Fees</t>
  </si>
  <si>
    <t>Outsourcing Costs (includes cleaning and security services)</t>
  </si>
  <si>
    <t>Cleaning Supplies</t>
  </si>
  <si>
    <t xml:space="preserve">Utilities,  Supplies and  service </t>
  </si>
  <si>
    <t>Water Charges</t>
  </si>
  <si>
    <t>Natural Gas</t>
  </si>
  <si>
    <t xml:space="preserve">Other Gas </t>
  </si>
  <si>
    <t>Sewage Charges</t>
  </si>
  <si>
    <t>Central Heating</t>
  </si>
  <si>
    <t>Fuel, Oil &amp; Lublicants</t>
  </si>
  <si>
    <t>Petrol</t>
  </si>
  <si>
    <t>Diesel</t>
  </si>
  <si>
    <t>Illuminating kerosene (Paraffin)</t>
  </si>
  <si>
    <t>Motor Oil</t>
  </si>
  <si>
    <t>Lubricants</t>
  </si>
  <si>
    <t>Bottled Gas</t>
  </si>
  <si>
    <t>Coal</t>
  </si>
  <si>
    <t>Charcoal</t>
  </si>
  <si>
    <t>Firewood</t>
  </si>
  <si>
    <t>Jet A-1/Aviation kerosene</t>
  </si>
  <si>
    <t>Aviation gas/spirit</t>
  </si>
  <si>
    <t>Marine Fuel</t>
  </si>
  <si>
    <t>Medical supplies and Services</t>
  </si>
  <si>
    <t>Vaccines</t>
  </si>
  <si>
    <t>Drugs and Medicines</t>
  </si>
  <si>
    <t>Special Foods (diet food)</t>
  </si>
  <si>
    <t>Dental Supplies</t>
  </si>
  <si>
    <t>Hospital Supplies</t>
  </si>
  <si>
    <t>Post Mortem Expenses</t>
  </si>
  <si>
    <t>Laboratory Supplies</t>
  </si>
  <si>
    <t>Specialised Medical Supplies</t>
  </si>
  <si>
    <t>Medical Gases and Chemicals</t>
  </si>
  <si>
    <t>Consumble Medical Supplies</t>
  </si>
  <si>
    <t>Military Supplieds and services</t>
  </si>
  <si>
    <t>Air Defence and Control Systems</t>
  </si>
  <si>
    <t>Arms and Ammunitions</t>
  </si>
  <si>
    <t>Tents and  Camp Equipment</t>
  </si>
  <si>
    <t>Field Equipment (Mechanical)</t>
  </si>
  <si>
    <t>Personnel Track Vehicles</t>
  </si>
  <si>
    <t>Aircraft Equipment</t>
  </si>
  <si>
    <t>Barracks</t>
  </si>
  <si>
    <t>Field Hospital Equipment</t>
  </si>
  <si>
    <t>Naval Force Equipment</t>
  </si>
  <si>
    <t>Land Force Equipment</t>
  </si>
  <si>
    <t>Representation Abroad</t>
  </si>
  <si>
    <t>Peoples Militia</t>
  </si>
  <si>
    <t>Special Operations</t>
  </si>
  <si>
    <t>Communication Equipment</t>
  </si>
  <si>
    <t>Security Control and Surveillance in Military Installation</t>
  </si>
  <si>
    <t>Combat Support Equipment</t>
  </si>
  <si>
    <t>Maps Equipment and Accessories</t>
  </si>
  <si>
    <t>Maritime Surveillance &amp; Radar Stations</t>
  </si>
  <si>
    <t>Military Exercises and Manouevres</t>
  </si>
  <si>
    <t>Upkeep of Training Establishment</t>
  </si>
  <si>
    <t>Military Surveillance</t>
  </si>
  <si>
    <t>Parade and Ceremony</t>
  </si>
  <si>
    <t>Telex and Radio</t>
  </si>
  <si>
    <t>Court Martial and Legal Services</t>
  </si>
  <si>
    <t>Medical Practitioners</t>
  </si>
  <si>
    <t>Expertriate Personnel</t>
  </si>
  <si>
    <t>Land Scaping</t>
  </si>
  <si>
    <t>Military Research</t>
  </si>
  <si>
    <t>Clothing,bedding, footwear and services</t>
  </si>
  <si>
    <t>Bed and Mattresses</t>
  </si>
  <si>
    <t>Bed Sheets and Linen</t>
  </si>
  <si>
    <t>Blankets</t>
  </si>
  <si>
    <t>Uniforms and Ceremonial Dresses</t>
  </si>
  <si>
    <t>Protective Clothing, footwear and gears</t>
  </si>
  <si>
    <t>Laundry and Cleaning</t>
  </si>
  <si>
    <t>Towels and Other Related supplies</t>
  </si>
  <si>
    <t>Clothing and Attachment</t>
  </si>
  <si>
    <t>Special Uniforms and Clothing</t>
  </si>
  <si>
    <t>Special Women Clothes</t>
  </si>
  <si>
    <t>Prisoners Clothing</t>
  </si>
  <si>
    <t xml:space="preserve">Uniforms </t>
  </si>
  <si>
    <t>Rental Expenses</t>
  </si>
  <si>
    <t>Rent of Vehicles and Crafts</t>
  </si>
  <si>
    <t xml:space="preserve">Rent -  Housing </t>
  </si>
  <si>
    <t>Rent - Office Accommodation</t>
  </si>
  <si>
    <t>Rent of Private vehicles</t>
  </si>
  <si>
    <t xml:space="preserve">Furniture and Appliances </t>
  </si>
  <si>
    <t>Warehousing</t>
  </si>
  <si>
    <t xml:space="preserve">Heavy Equipment </t>
  </si>
  <si>
    <t>Civilian Aircraft</t>
  </si>
  <si>
    <t>Conference Facilities</t>
  </si>
  <si>
    <t>Rent of Water Crafts</t>
  </si>
  <si>
    <t>Training - Domestic</t>
  </si>
  <si>
    <t>Accommodation</t>
  </si>
  <si>
    <t>Tuition Fees</t>
  </si>
  <si>
    <t>Hiring of Training Facilities</t>
  </si>
  <si>
    <t>Remuneration of Instructors</t>
  </si>
  <si>
    <t>Production and Printing of Training Materials</t>
  </si>
  <si>
    <t>Contract based training services</t>
  </si>
  <si>
    <t>Training Allowances</t>
  </si>
  <si>
    <t>Training Materials</t>
  </si>
  <si>
    <t>Air Travel Tickets</t>
  </si>
  <si>
    <t>Ground Transport (Bus, Train, Water)</t>
  </si>
  <si>
    <t>Research and Dissertation</t>
  </si>
  <si>
    <t>Military Training - Domestic</t>
  </si>
  <si>
    <t>Training Aids</t>
  </si>
  <si>
    <t>Testing Facilities</t>
  </si>
  <si>
    <t>Training - Foreign</t>
  </si>
  <si>
    <t>Tuition fees</t>
  </si>
  <si>
    <t>Upkeep Allowances</t>
  </si>
  <si>
    <t>Health Insurance</t>
  </si>
  <si>
    <t>Military Training - Foreign</t>
  </si>
  <si>
    <t>Joint Training &amp; Operations (Regional)</t>
  </si>
  <si>
    <t>Travel - In - Country</t>
  </si>
  <si>
    <t>Ground travel (bus, railway taxi, etc)</t>
  </si>
  <si>
    <t>Water Transport</t>
  </si>
  <si>
    <t>Lodging/Accommodation</t>
  </si>
  <si>
    <t>Per Diem - Domestic</t>
  </si>
  <si>
    <t>Per Diem - Foreign</t>
  </si>
  <si>
    <t xml:space="preserve">Visa Application Fees </t>
  </si>
  <si>
    <t xml:space="preserve"> Health Insurance</t>
  </si>
  <si>
    <t>Travel Out Of Country</t>
  </si>
  <si>
    <t>Internet and Email connections</t>
  </si>
  <si>
    <t>Posts and Telegraphs</t>
  </si>
  <si>
    <t>Wire, Wireless, Telephone,Telex Services and Facsimile</t>
  </si>
  <si>
    <t>Programs Transmission Fees</t>
  </si>
  <si>
    <t>Advertising and Publication</t>
  </si>
  <si>
    <t>Courier Services</t>
  </si>
  <si>
    <t>Leased lines</t>
  </si>
  <si>
    <t>Satellite access services</t>
  </si>
  <si>
    <t>Telephone Equipment (ground line)</t>
  </si>
  <si>
    <t>Telephone Equipment (mobile)</t>
  </si>
  <si>
    <t>Telephone Charges (Land Lines)</t>
  </si>
  <si>
    <t xml:space="preserve">Mobile Charges </t>
  </si>
  <si>
    <t xml:space="preserve">Publicity </t>
  </si>
  <si>
    <t>Transcriptions Services</t>
  </si>
  <si>
    <t>Subscription Fees</t>
  </si>
  <si>
    <t>News Services Fees</t>
  </si>
  <si>
    <t>Communication Network Services</t>
  </si>
  <si>
    <t>Technical Service Fees</t>
  </si>
  <si>
    <t>Educational Materials, Services And Supplies</t>
  </si>
  <si>
    <t>Textbooks</t>
  </si>
  <si>
    <t>Exercise Books</t>
  </si>
  <si>
    <t>Classroom Teaching Supplies</t>
  </si>
  <si>
    <t xml:space="preserve">Library Books </t>
  </si>
  <si>
    <t>Archive Materials</t>
  </si>
  <si>
    <t>Technical Materials</t>
  </si>
  <si>
    <t>Artistic Materials</t>
  </si>
  <si>
    <t>Special Needs material and supplies</t>
  </si>
  <si>
    <t xml:space="preserve">Schools Laboratory Supplies </t>
  </si>
  <si>
    <t xml:space="preserve">Laboratory small non-durable equipment </t>
  </si>
  <si>
    <t>Examination Expenses</t>
  </si>
  <si>
    <t>Educational Radio and TV broadcasting  programming</t>
  </si>
  <si>
    <t>Sporting Supplies</t>
  </si>
  <si>
    <t>Capitation Costs</t>
  </si>
  <si>
    <t>Hospitality Supplies And Services</t>
  </si>
  <si>
    <t>Exhibition,Festivals and Celebrations</t>
  </si>
  <si>
    <t>Catering Services</t>
  </si>
  <si>
    <t xml:space="preserve">Accommodation </t>
  </si>
  <si>
    <t>Food and Refreshments</t>
  </si>
  <si>
    <t>Entertainment</t>
  </si>
  <si>
    <t>Gifts and Prizes</t>
  </si>
  <si>
    <t>Agricultural And  Livestock  Supplies &amp; Services</t>
  </si>
  <si>
    <t>Seeds</t>
  </si>
  <si>
    <t>Agricultural Implements</t>
  </si>
  <si>
    <t>Agricultural Chemicals</t>
  </si>
  <si>
    <t>Fertilizers</t>
  </si>
  <si>
    <t>Quarantine Expenses</t>
  </si>
  <si>
    <t>Veterinary Drugs and Medicine</t>
  </si>
  <si>
    <t>Animal Feeds</t>
  </si>
  <si>
    <t>Acaricides</t>
  </si>
  <si>
    <t>Printing, Advertizing and Information Supplies and Services</t>
  </si>
  <si>
    <t>Printing Material</t>
  </si>
  <si>
    <t>Printing Equipment</t>
  </si>
  <si>
    <t>Ration - Food Purchase</t>
  </si>
  <si>
    <t>Food and Supply Services - Defence Forces</t>
  </si>
  <si>
    <t>Prisoners Food</t>
  </si>
  <si>
    <t>Food Supplies and Services</t>
  </si>
  <si>
    <t>Small engineering tools and equipment</t>
  </si>
  <si>
    <t>Geological Surveys</t>
  </si>
  <si>
    <t>Geodesic Surveys</t>
  </si>
  <si>
    <t>Mapping Surveys</t>
  </si>
  <si>
    <t>Materials Testing Services</t>
  </si>
  <si>
    <t>Non-Agriculture Chemicals Supplies and Services</t>
  </si>
  <si>
    <t>Expenses of Former Leaders</t>
  </si>
  <si>
    <t xml:space="preserve">Fumigation </t>
  </si>
  <si>
    <t>Upkeep of Grounds and Amenities</t>
  </si>
  <si>
    <t>Passport Printing Materials</t>
  </si>
  <si>
    <t>Other Operating Expenses</t>
  </si>
  <si>
    <t>Shipment of Personal and Household Effects</t>
  </si>
  <si>
    <t>Freight Forwarding and Clearing Charges</t>
  </si>
  <si>
    <t>Shipping Administration Charges</t>
  </si>
  <si>
    <t>Weights and Measures Instruments</t>
  </si>
  <si>
    <t>Security Services</t>
  </si>
  <si>
    <t>Census</t>
  </si>
  <si>
    <t>Surveys</t>
  </si>
  <si>
    <t>Audit Fees</t>
  </si>
  <si>
    <t>Taxes Levied by another Level of Government</t>
  </si>
  <si>
    <t>Honorariums (expert opinion)</t>
  </si>
  <si>
    <t>Valuation fees</t>
  </si>
  <si>
    <t>Inmate Allowances</t>
  </si>
  <si>
    <t>Depreciation</t>
  </si>
  <si>
    <t>Sundry Expenses</t>
  </si>
  <si>
    <t>National Expenses</t>
  </si>
  <si>
    <t>Exchange Equalization</t>
  </si>
  <si>
    <t>Legal Fees</t>
  </si>
  <si>
    <t>Insurance Expenses</t>
  </si>
  <si>
    <t>Bank Charges and Commissions</t>
  </si>
  <si>
    <t>Burial Expenses</t>
  </si>
  <si>
    <t>Foreign Exchange Equalization</t>
  </si>
  <si>
    <t>Consultancy Fees</t>
  </si>
  <si>
    <t>Treasury Voucher System (TVCs)</t>
  </si>
  <si>
    <t>Parastatal Rehabilitation</t>
  </si>
  <si>
    <t>Financial Intelligence Unit</t>
  </si>
  <si>
    <t>Investigation Expenses</t>
  </si>
  <si>
    <t>Capacity Charges</t>
  </si>
  <si>
    <t>Witnesses Expenses</t>
  </si>
  <si>
    <t>Negotiated Compensation</t>
  </si>
  <si>
    <t>Contingencies Item</t>
  </si>
  <si>
    <t>Contingent Liabilities</t>
  </si>
  <si>
    <t>Specialized Equipment and Supplies</t>
  </si>
  <si>
    <t>Release Travel</t>
  </si>
  <si>
    <t>Loan Management and Servicing fees</t>
  </si>
  <si>
    <t>Agency Fees</t>
  </si>
  <si>
    <t>Suppliers Debts</t>
  </si>
  <si>
    <t>Special Operation Services</t>
  </si>
  <si>
    <t>Education Supervision Expenses</t>
  </si>
  <si>
    <t>Audit Supervision Expenses</t>
  </si>
  <si>
    <t>Maintenance Expenses</t>
  </si>
  <si>
    <t>Routine Maintenance And Repair Of Roads And Bridges</t>
  </si>
  <si>
    <t>Aggregates and Road Surfacing Materials</t>
  </si>
  <si>
    <t>Metal barriers</t>
  </si>
  <si>
    <t xml:space="preserve">Paint </t>
  </si>
  <si>
    <t xml:space="preserve">Electrical cabling and equipment (traffic lights) </t>
  </si>
  <si>
    <t>Small tools and implements</t>
  </si>
  <si>
    <t>Direct labour (contracted or casual hire)</t>
  </si>
  <si>
    <t>Outsource maintenance contract services</t>
  </si>
  <si>
    <t>Routine Maintenance And Repair Of Buildings</t>
  </si>
  <si>
    <t>Cement, Bricks and Building Materials</t>
  </si>
  <si>
    <t>Roofing Materials</t>
  </si>
  <si>
    <t>Wood and Timber Supplies</t>
  </si>
  <si>
    <t>Paint and Weather Protection Coatings</t>
  </si>
  <si>
    <t>Metal Fence and Posts</t>
  </si>
  <si>
    <t>Plumbing Supplies and Fixtures</t>
  </si>
  <si>
    <t>Electrical and Other Cabling Materials</t>
  </si>
  <si>
    <t>Small Tools and Implements</t>
  </si>
  <si>
    <t>Direct Labour (contracted or casual hire)</t>
  </si>
  <si>
    <t>Outsource Maintenance Contract Services</t>
  </si>
  <si>
    <t>Routine Maintenance and Repair of Water  and Elictricity Installation</t>
  </si>
  <si>
    <t>Cement, bricks and construction materials</t>
  </si>
  <si>
    <t xml:space="preserve">Excavations and Dredging </t>
  </si>
  <si>
    <t>Weather Protection Coatings</t>
  </si>
  <si>
    <t>Water Pumps</t>
  </si>
  <si>
    <t>Pipes and Fittings</t>
  </si>
  <si>
    <t>Routine Maintenance And Repair Of Vehicles And Transportation Equipment</t>
  </si>
  <si>
    <t>Motor Vehicles and Water Craft</t>
  </si>
  <si>
    <t>Government Workshop</t>
  </si>
  <si>
    <t>Tyres and Batteries</t>
  </si>
  <si>
    <t>Panel and body shop repair materials and services</t>
  </si>
  <si>
    <t>Oil and Grease</t>
  </si>
  <si>
    <t>Small Car Mechanics Tools</t>
  </si>
  <si>
    <t>Spare Parts</t>
  </si>
  <si>
    <t>Maintenance of Specialized equipment</t>
  </si>
  <si>
    <t>X-Ray Equipment</t>
  </si>
  <si>
    <t>Servers</t>
  </si>
  <si>
    <t>Ultra-Sound Equipment</t>
  </si>
  <si>
    <t>CT Scan Equipment</t>
  </si>
  <si>
    <t>Radar</t>
  </si>
  <si>
    <t>Cold Room Units</t>
  </si>
  <si>
    <t>Routine Maintenance and Repair of Machinery, Equipment and Plant</t>
  </si>
  <si>
    <t>Mechanical, electrical, and electronic spare parts</t>
  </si>
  <si>
    <t>Oil, grease, and other chemical materials</t>
  </si>
  <si>
    <t>Small tools and equipment</t>
  </si>
  <si>
    <t>Routine Maintenance and Repair of Office Equipment and Appliances</t>
  </si>
  <si>
    <t>Computers, printers, scanners, and other computer related equipment</t>
  </si>
  <si>
    <t>Photocopiers</t>
  </si>
  <si>
    <t>Fax machines and other small office equipment</t>
  </si>
  <si>
    <t>Air conditioners</t>
  </si>
  <si>
    <t>Telephones and Office PABX systems</t>
  </si>
  <si>
    <t>Maintenance of Military Land Operations including</t>
  </si>
  <si>
    <t>Materials</t>
  </si>
  <si>
    <t>Exercises</t>
  </si>
  <si>
    <t>Services</t>
  </si>
  <si>
    <t>Outsource</t>
  </si>
  <si>
    <t xml:space="preserve">Routine Maintenance and Repair of Naval Operations including sea </t>
  </si>
  <si>
    <t>Routine Maintenance and Repair of Air Force and Air Space</t>
  </si>
  <si>
    <t>Air Navigation Beacons</t>
  </si>
  <si>
    <t>Other Routine Maintenance Expenses not elsewhere classified</t>
  </si>
  <si>
    <t>Medical and Laboratory equipment</t>
  </si>
  <si>
    <t>Precision tools, weights and measures instruments</t>
  </si>
  <si>
    <t>Navigation Equipment (flight calibrations, signalling and beacons)</t>
  </si>
  <si>
    <t>Electrical and Telephone Cable Installations</t>
  </si>
  <si>
    <t>Fire Protection Equipment</t>
  </si>
  <si>
    <t>Photographic and survey equipment</t>
  </si>
  <si>
    <t>Survey Aircraft</t>
  </si>
  <si>
    <t>TV sets and Radios</t>
  </si>
  <si>
    <t>War Graves</t>
  </si>
  <si>
    <t xml:space="preserve">Consumption of Fixed Capital Assets </t>
  </si>
  <si>
    <t>For accrual use</t>
  </si>
  <si>
    <t>Interest Payments to Foreign Non-Resident lnstitutions</t>
  </si>
  <si>
    <t>International Organizations</t>
  </si>
  <si>
    <t>Foreign/Bilateral Loans (Non-Paris club Countries)</t>
  </si>
  <si>
    <t>Foreign/Bilateral Loans (Paris Club Countries)</t>
  </si>
  <si>
    <t>Export Credits Corporations</t>
  </si>
  <si>
    <t>Foreign Commercial Loans</t>
  </si>
  <si>
    <t>Interest Payments to Other Foreign Non-Resident Organizations</t>
  </si>
  <si>
    <t>Private Individuals</t>
  </si>
  <si>
    <t>Private Institutions</t>
  </si>
  <si>
    <t>Interest Payments to Domestic and Institutions Other than General Government</t>
  </si>
  <si>
    <t>Residents</t>
  </si>
  <si>
    <t>Resident Institutions</t>
  </si>
  <si>
    <t>Finance Costs</t>
  </si>
  <si>
    <t>Interest Payments on Short-Term Debt to Other General  Government Units</t>
  </si>
  <si>
    <t>Central Bank - 35 day Treasury Bills</t>
  </si>
  <si>
    <t>Central Bank - 91 day Treasury Bills</t>
  </si>
  <si>
    <t>Central Bank -182 day Treasury Bills</t>
  </si>
  <si>
    <t>Central Bank -364 day Treasury Bills</t>
  </si>
  <si>
    <t>Tax Reserve Certificates</t>
  </si>
  <si>
    <t>Liquidity Management Cost</t>
  </si>
  <si>
    <t xml:space="preserve">Interest Payments On Long-Term Debt to Other General Government Units </t>
  </si>
  <si>
    <t>Long-Term Tradable ( Bonds)</t>
  </si>
  <si>
    <t>Long-term Non-tradable ( Stocks/Special bonds)</t>
  </si>
  <si>
    <t>Long-term Trade Credit and Advances</t>
  </si>
  <si>
    <t>Mortgages</t>
  </si>
  <si>
    <t>Financial Leases</t>
  </si>
  <si>
    <t>Index bonds or Other Index Loans</t>
  </si>
  <si>
    <t xml:space="preserve">Other Domestic Interest Payments not elsewhwere classified </t>
  </si>
  <si>
    <t>Interest on Internal loans</t>
  </si>
  <si>
    <t>250601-250699</t>
  </si>
  <si>
    <t>Current Subsidies to Financial Public Corporations</t>
  </si>
  <si>
    <t>Tanzania Women's Bank</t>
  </si>
  <si>
    <t>Grants And Other Transfer Payments</t>
  </si>
  <si>
    <t>Current Subsidies to Households &amp; Unincorporate Business</t>
  </si>
  <si>
    <t>Tribunal Members</t>
  </si>
  <si>
    <t>Councillors Allowance</t>
  </si>
  <si>
    <t>Assesors Allowance</t>
  </si>
  <si>
    <t>Judicial Service Board Expenses</t>
  </si>
  <si>
    <t>Relief Assistance</t>
  </si>
  <si>
    <t>Political Aid</t>
  </si>
  <si>
    <t>Destitute</t>
  </si>
  <si>
    <t xml:space="preserve">Current Subsidies Non-Profit Organizations </t>
  </si>
  <si>
    <t>CHEWATA</t>
  </si>
  <si>
    <t>Political Parties</t>
  </si>
  <si>
    <t>Kilimanjaro Christian Medical Centre (KCMC)</t>
  </si>
  <si>
    <t>Voluntary Agencies Hospitals(VAHS)</t>
  </si>
  <si>
    <t>Designated District Hospitals(DDH)</t>
  </si>
  <si>
    <t>Bugando Medical Centre</t>
  </si>
  <si>
    <t>Self Help Scheme</t>
  </si>
  <si>
    <t>Copyright Society of Tanzania (COSOTA)</t>
  </si>
  <si>
    <t>Non-Government Organizations (NGOs)</t>
  </si>
  <si>
    <t>SHIMIWI</t>
  </si>
  <si>
    <t>Current Grant to Foreign Governments</t>
  </si>
  <si>
    <t>Current Grant to International Organizations</t>
  </si>
  <si>
    <t>International Police Organisation (INTERPOL)</t>
  </si>
  <si>
    <t>Contributions to UN Organisations</t>
  </si>
  <si>
    <t>Contributions to African Union (AU)</t>
  </si>
  <si>
    <t>Subscription to other International Institutions</t>
  </si>
  <si>
    <t>Contribution to World Food Programme</t>
  </si>
  <si>
    <t>Contribution to AFROSAI</t>
  </si>
  <si>
    <t>Contribution to INTOSAI</t>
  </si>
  <si>
    <t>Subscription to Other International Organizations</t>
  </si>
  <si>
    <t>Contribution to World Health Organisation</t>
  </si>
  <si>
    <t>Contribution to E.A. Land Survey Examination Board</t>
  </si>
  <si>
    <t>Contribution to International Union of Geodsy and Geophysics</t>
  </si>
  <si>
    <t>Contribution to World Energy Council</t>
  </si>
  <si>
    <t>Contribution to Commonwealth Secretariat</t>
  </si>
  <si>
    <t>Contribution to UNESCO</t>
  </si>
  <si>
    <t>Contribution to AOCRS</t>
  </si>
  <si>
    <t>Inter-Parliamentary Union (IPU)</t>
  </si>
  <si>
    <t>Commonwealth Parliamentary Association</t>
  </si>
  <si>
    <t>Commonwealth Agriculture Bureau</t>
  </si>
  <si>
    <t>Food and Agricultural Organization (FAO)</t>
  </si>
  <si>
    <t>International Red Locust Control Organization</t>
  </si>
  <si>
    <t>Desert Locust Control Organisation East Africa</t>
  </si>
  <si>
    <t>International Seed Testing Unit</t>
  </si>
  <si>
    <t>Office International des Epizooites, Paris</t>
  </si>
  <si>
    <t>International Fund for Agricultural Development</t>
  </si>
  <si>
    <t>International Society for Horticultural Services</t>
  </si>
  <si>
    <t>SADC Cooperation in Agricultural Research and Funding SACCAR</t>
  </si>
  <si>
    <t>SADC Generic Resource Centre</t>
  </si>
  <si>
    <t>United Nations Industrial Development Organization (UNIDO)</t>
  </si>
  <si>
    <t>Inter Society for Photogrammetry and Remote Sensing</t>
  </si>
  <si>
    <t>Afro-Asian Housing Organisation and Habitat</t>
  </si>
  <si>
    <t>Commonwealth Regional Health Secretariat</t>
  </si>
  <si>
    <t>League of Red Cross and Red Cross Crescent</t>
  </si>
  <si>
    <t>Internationl Maritime Organisation</t>
  </si>
  <si>
    <t>World Meteorology Organisation</t>
  </si>
  <si>
    <t>International Labour Organisation</t>
  </si>
  <si>
    <t>Inter-University Association</t>
  </si>
  <si>
    <t>World Tourism Organisation</t>
  </si>
  <si>
    <t>Regional Tourism for South Africa - RETOSA</t>
  </si>
  <si>
    <t>London Trade Centre</t>
  </si>
  <si>
    <t>International Festivals</t>
  </si>
  <si>
    <t>IULA</t>
  </si>
  <si>
    <t>AALC</t>
  </si>
  <si>
    <t>CLAS</t>
  </si>
  <si>
    <t>Inter Governmental Shipping Organization</t>
  </si>
  <si>
    <t>Association for Strengthening Agricultural Research in Eastern and Central Africa</t>
  </si>
  <si>
    <t>South South Centre</t>
  </si>
  <si>
    <t>Great Lakes Contributions</t>
  </si>
  <si>
    <t>The Lusaka Agreement on Cooperative Operations Directed at Illegal Trade in Wild Fauna and Flora</t>
  </si>
  <si>
    <t>The Convention on International Trade on Endangered Species of Fauna na Flora (CITES)</t>
  </si>
  <si>
    <t>The African-Eurasia Migratory Water Bird Agreement (AEWA)</t>
  </si>
  <si>
    <t>The Convention on Migratory Wild Animal Species (The Bonn Convention)</t>
  </si>
  <si>
    <t>The Convention on Wetlands (Ramsar Convetion)</t>
  </si>
  <si>
    <t>International Union for Conservation of Nature (IUCN)</t>
  </si>
  <si>
    <t>International Military Sports council (CISM)</t>
  </si>
  <si>
    <t>East African Community (EAC)</t>
  </si>
  <si>
    <t>SADC</t>
  </si>
  <si>
    <t>CISM ESALO</t>
  </si>
  <si>
    <t>EACRATANAL</t>
  </si>
  <si>
    <t>Lake Victoria Fisheries Organization</t>
  </si>
  <si>
    <t>Africa Peer Review Mechanism (APRM)</t>
  </si>
  <si>
    <t>Current Grant to Non-Financial Public Units - (Academic Institutions)</t>
  </si>
  <si>
    <t>Open University of Tanzania</t>
  </si>
  <si>
    <t>University College of Lands &amp; Architectural Studies (Ardhi Institute)</t>
  </si>
  <si>
    <t>Sokoine University of Agriculture (SUA)</t>
  </si>
  <si>
    <t>University of Dar es Salaam (UDSM)</t>
  </si>
  <si>
    <t>Muhimbili University of Health and Allied Science</t>
  </si>
  <si>
    <t>Mzumbe University</t>
  </si>
  <si>
    <t>University of Dodoma (UDOM)</t>
  </si>
  <si>
    <t>Moshi University College of Cooperatives and Business Studies(MUCCoBS)</t>
  </si>
  <si>
    <t>Dar es Salaam University College of Education (DUCE)</t>
  </si>
  <si>
    <t>Mkwawa University College of Education</t>
  </si>
  <si>
    <t>Tanzania Institute of Accountancy (TIA)</t>
  </si>
  <si>
    <t>Institute of Finance Management (IFM)</t>
  </si>
  <si>
    <t>Institute of Accountancy Arusha (IAA)</t>
  </si>
  <si>
    <t>National Institute of Transport (NIT)</t>
  </si>
  <si>
    <t>Institute of Social Work</t>
  </si>
  <si>
    <t>Institute of Rural Development Planning</t>
  </si>
  <si>
    <t>Dar es Salaam Institute of Technology (DIT)</t>
  </si>
  <si>
    <t>Mwalimu Nyerere Memorial Academy for Social Sciences</t>
  </si>
  <si>
    <t>Mbeya Institute of Science and Technology (MIST)</t>
  </si>
  <si>
    <t>Institute of Judicial Administration (IJA)</t>
  </si>
  <si>
    <t>National College of Tourism</t>
  </si>
  <si>
    <t>Arusha Technical College</t>
  </si>
  <si>
    <t>College of Wildlife Management - Mweka</t>
  </si>
  <si>
    <t>Institute of Adult Education</t>
  </si>
  <si>
    <t>National Correspondence Institute</t>
  </si>
  <si>
    <t>Ardhi Institute - Morogoro</t>
  </si>
  <si>
    <t>National Sugar Training Institute</t>
  </si>
  <si>
    <t>Dar es Salaam Maritime Institute (DMI)</t>
  </si>
  <si>
    <t>Hombolo Local Government Training Institute</t>
  </si>
  <si>
    <t>East African Statistical Training Centre</t>
  </si>
  <si>
    <t>Centre for Foreign Relations</t>
  </si>
  <si>
    <t>Tanzania Public Service College (TPSC)</t>
  </si>
  <si>
    <t>Tanzania Fisheries Research Institute (TAFIRI)</t>
  </si>
  <si>
    <t>Tanzania Wildlife Research Institute (TAWIRI)</t>
  </si>
  <si>
    <t>Tanzania Industrial Research Organization (TIRDO)</t>
  </si>
  <si>
    <t>Centre for Agriculture Mechanization and Rural Technology (CARMATEC)</t>
  </si>
  <si>
    <t>Tanzania Engineering and Manufacturing Design Organization (TEMDO)</t>
  </si>
  <si>
    <t>Tobacco Research Institute of Tanzania (TORITA)</t>
  </si>
  <si>
    <t>Tanzania Coffee Research Institute (TRIT)</t>
  </si>
  <si>
    <t>Tea Research Institute of Tanzania (TOSCI)</t>
  </si>
  <si>
    <t>Naliendele Cashewnut Research Centre</t>
  </si>
  <si>
    <t xml:space="preserve">Ukiliguru Cotton Research Centre </t>
  </si>
  <si>
    <t>Kibaha Sugar Research Centre</t>
  </si>
  <si>
    <t>Muhimbili Orthopaedic Institute (MOI)</t>
  </si>
  <si>
    <t>Tanzania Law School</t>
  </si>
  <si>
    <t>Tanzania Coffee Institute (TaCRI)</t>
  </si>
  <si>
    <t>Tanzania Tea Research of Tanzania (TRIT)</t>
  </si>
  <si>
    <t>National Sugar Institute</t>
  </si>
  <si>
    <t>National Institute for Medical Research</t>
  </si>
  <si>
    <t>Appropriate Technology Training Institute</t>
  </si>
  <si>
    <t>Morogoro Training Institute</t>
  </si>
  <si>
    <t>Transfer Technology Centre</t>
  </si>
  <si>
    <t>Tanzania Institute of Education</t>
  </si>
  <si>
    <t>Institute of Journalism and Mass Communication</t>
  </si>
  <si>
    <t>College of Business Education</t>
  </si>
  <si>
    <t>Ocean Road Cancer Institute</t>
  </si>
  <si>
    <t>Arthi Institute Tabora</t>
  </si>
  <si>
    <t>Likuyu Sekamaganga Wildlife College</t>
  </si>
  <si>
    <t>Pansiansi Wildlife Training Institute</t>
  </si>
  <si>
    <t>Tanzania Forestry Research Institute (TAFORI)</t>
  </si>
  <si>
    <t>Forest Training Institute (FTI)</t>
  </si>
  <si>
    <t>Forest Industries Training Institute (FITI)</t>
  </si>
  <si>
    <t>Beekeeping Training Institute (BTI)</t>
  </si>
  <si>
    <t>Agricultural Research Institute-Mlingano</t>
  </si>
  <si>
    <t>Economic and Social Research Foundation(ESRF)</t>
  </si>
  <si>
    <t>ESAURP</t>
  </si>
  <si>
    <t>Tanzania Official Seed Certification Institute (TOSCI)</t>
  </si>
  <si>
    <t>Tanzania Pesticide Research Institute (TPRI)</t>
  </si>
  <si>
    <t>Nelson Mandela African Institute of Science and Technology (NM-AIST)</t>
  </si>
  <si>
    <t>Malya Sports College</t>
  </si>
  <si>
    <t>Current Grant to Non-Financial Public Units - (Authorities)</t>
  </si>
  <si>
    <t>Tanzania Revenue Authority (TRA)</t>
  </si>
  <si>
    <t>Public Procurement Regulatory Authority (PPRA)</t>
  </si>
  <si>
    <t>Capital Development Authority (CDA)</t>
  </si>
  <si>
    <t>Rufiji Basin Development Authority (RUBADA)</t>
  </si>
  <si>
    <t>Tanzania Airport Authority (TAA)</t>
  </si>
  <si>
    <t>Tanzania Meteorological Authority (TMA)</t>
  </si>
  <si>
    <t>Regional Transport Authority</t>
  </si>
  <si>
    <t>Tanzania Food and Drugs Authority (TFDA)</t>
  </si>
  <si>
    <t>Tanzania Petroleum Development Corporation (TPDC)</t>
  </si>
  <si>
    <t>Public Procurement Appeals Authority (PPAA)</t>
  </si>
  <si>
    <t>Tanzania Fertilizer Regulatory Authority</t>
  </si>
  <si>
    <t>Marine Parks and Reserves Authority</t>
  </si>
  <si>
    <t>Tanzania Education Authority</t>
  </si>
  <si>
    <t>Export Processing Zone Authority</t>
  </si>
  <si>
    <t xml:space="preserve">Current Grant to Non-Financial Public Units (Boards) </t>
  </si>
  <si>
    <t>Tanzania Tourist Board</t>
  </si>
  <si>
    <t>Board of External Trade</t>
  </si>
  <si>
    <t>Tanzania Sisal Board</t>
  </si>
  <si>
    <t>Tanzania Sugar Board</t>
  </si>
  <si>
    <t>Tanzania Pyrethrum Board</t>
  </si>
  <si>
    <t>Tanzania Tea Board</t>
  </si>
  <si>
    <t>Tanzania Coffee Board</t>
  </si>
  <si>
    <t>Tanzania Tobacco Board</t>
  </si>
  <si>
    <t>Tanzania Cashewnut Board</t>
  </si>
  <si>
    <t>Tanzania Cotton Board</t>
  </si>
  <si>
    <t>Tanzania Dairy Board</t>
  </si>
  <si>
    <t>Engineering Registration Board</t>
  </si>
  <si>
    <t>Tanzania Gaming Board</t>
  </si>
  <si>
    <t>Tanzania Cereal Board</t>
  </si>
  <si>
    <t>National Board of Accountants and Auditors (NBAA)</t>
  </si>
  <si>
    <t>Film Censorship Board</t>
  </si>
  <si>
    <t>Architects and Quantity Surveyors Registration Board (AQRB)</t>
  </si>
  <si>
    <t>Tanzania Library Services Board</t>
  </si>
  <si>
    <t>Tanzania Warehousing Licencing Board</t>
  </si>
  <si>
    <t>National Board of Materials Management</t>
  </si>
  <si>
    <t>Tanzania Meat Board</t>
  </si>
  <si>
    <t>Current Grant to Non-Financial Public Units - (Agencies)</t>
  </si>
  <si>
    <t>Tanzania Food and Nutrition Centre</t>
  </si>
  <si>
    <t>Tanzania Bureau of Standards (TBS)</t>
  </si>
  <si>
    <t>National Bureau of Statistics (NBS)</t>
  </si>
  <si>
    <t>Government Printer</t>
  </si>
  <si>
    <t>Weights and Measures Agency</t>
  </si>
  <si>
    <t>Drilling and Dam Construction Agency</t>
  </si>
  <si>
    <t>Tanzania Building Agency (TBA)</t>
  </si>
  <si>
    <t>Occupational and Safety Health Agency (OSHA)</t>
  </si>
  <si>
    <t>National Housing and Building Research Agency (NHBRA)</t>
  </si>
  <si>
    <t>Tanzania Tree Seed Agency (TSA)</t>
  </si>
  <si>
    <t>Agency for Development of Educational Management (ADEM)</t>
  </si>
  <si>
    <t>Government Chemist Agency</t>
  </si>
  <si>
    <t>Agriculture Seed Agency (ASA)</t>
  </si>
  <si>
    <t>Fair Competition Bureau Agency</t>
  </si>
  <si>
    <t>Rural Electrification Agency</t>
  </si>
  <si>
    <t>Tanzania Government Flight Agency</t>
  </si>
  <si>
    <t>Registration Insolvency and Trusteeship Agency (RITA)</t>
  </si>
  <si>
    <t>Tanzania Smallholder Tea Development Agency</t>
  </si>
  <si>
    <t>Tanzania National Roads Agency (TANROAD)</t>
  </si>
  <si>
    <t>Dar es Salaam Rapid Transport (DART)</t>
  </si>
  <si>
    <t>National Food Reserve Agency</t>
  </si>
  <si>
    <t>Tanzania Employment Services Agency (TaESA)</t>
  </si>
  <si>
    <t>National Identity Cards Agency (NIDA)</t>
  </si>
  <si>
    <t>Government Procurement Services Agency (GPSA)</t>
  </si>
  <si>
    <t>The Water Development and Management Institute</t>
  </si>
  <si>
    <t>Taasisi ya Sanaa na Utamaduni Bagamoyo</t>
  </si>
  <si>
    <t>Tanzania Electrical, Mechanical and Electronics Services Agency (TEMESA)</t>
  </si>
  <si>
    <t>Geological Survey of Tanzania(GST)</t>
  </si>
  <si>
    <t>Current Grant to Non-Financial Public Units - (Commissions)</t>
  </si>
  <si>
    <t>Tanzania Broadcasting Commission</t>
  </si>
  <si>
    <t>Tanzania Commission for Universities</t>
  </si>
  <si>
    <t>Commission for Science and Technology (COSTECH)</t>
  </si>
  <si>
    <t>National Landuse Planning Commission</t>
  </si>
  <si>
    <t>Tanzania Atomic Energy Commission (TAEC)</t>
  </si>
  <si>
    <t>Joint Finance Commission (JFC)</t>
  </si>
  <si>
    <t>Cooperative Development Commission</t>
  </si>
  <si>
    <t>UNESCO National Commission</t>
  </si>
  <si>
    <t>Fair Competition Commission</t>
  </si>
  <si>
    <t>Current Grant to Non-Financial Public Units - (General)</t>
  </si>
  <si>
    <t>Mzinga Factory</t>
  </si>
  <si>
    <t>Shirika la Nyumbu</t>
  </si>
  <si>
    <t>Small Industries Development Organisation (SIDO)</t>
  </si>
  <si>
    <t>National Productivity Council</t>
  </si>
  <si>
    <t>National Construction Council</t>
  </si>
  <si>
    <t>National Empowerment Council</t>
  </si>
  <si>
    <t>Millenium Challenge Cooperation (MCC)</t>
  </si>
  <si>
    <t>National Business Council</t>
  </si>
  <si>
    <t>National Environment Management Council (NEMC)</t>
  </si>
  <si>
    <t>National Examination Council of Tanzania (NECTA)</t>
  </si>
  <si>
    <t>National Arts Council</t>
  </si>
  <si>
    <t>National Kiswahili Council</t>
  </si>
  <si>
    <t>National Sports Council</t>
  </si>
  <si>
    <t>National Council for Technical Education</t>
  </si>
  <si>
    <t>BAMATA</t>
  </si>
  <si>
    <t>Tanzania Investment Centre (TIC)</t>
  </si>
  <si>
    <t>Cooperative Audit and Supervison Corporation</t>
  </si>
  <si>
    <t>Registrar of Companies</t>
  </si>
  <si>
    <t xml:space="preserve">Road Fund </t>
  </si>
  <si>
    <t>Muhimbili National Hospital</t>
  </si>
  <si>
    <t>Mbeya Referral Hospital</t>
  </si>
  <si>
    <t>Mirembe and Isanga Institution</t>
  </si>
  <si>
    <t>Kibongoto Hospital</t>
  </si>
  <si>
    <t>Agriculture Council of Tanzania (ACT)</t>
  </si>
  <si>
    <t>Horticulture Development Council (HODECT)</t>
  </si>
  <si>
    <t>Tanzania Broadcasting Corporation</t>
  </si>
  <si>
    <t>Dakawa Development Centre</t>
  </si>
  <si>
    <t>Fair competition Tribunal</t>
  </si>
  <si>
    <t>National Development Corporation</t>
  </si>
  <si>
    <t>Livestock Development Fund</t>
  </si>
  <si>
    <t>Dubai Trade Centre</t>
  </si>
  <si>
    <t>Kibaha Education Centre</t>
  </si>
  <si>
    <t>Independent Audit</t>
  </si>
  <si>
    <t>National Museum of Tanzania</t>
  </si>
  <si>
    <t>Serious Crime National Task Force</t>
  </si>
  <si>
    <t>Dubai Consulate</t>
  </si>
  <si>
    <t>Mombasa Consulate</t>
  </si>
  <si>
    <t>Jeddah Consulate</t>
  </si>
  <si>
    <t>Arusha Zonal Sports Centre</t>
  </si>
  <si>
    <t>Songea Zonal Sports Centre</t>
  </si>
  <si>
    <t>Kiwira Coal Mines</t>
  </si>
  <si>
    <t>BuckReef Gold Mine</t>
  </si>
  <si>
    <t>State Mining Corporation</t>
  </si>
  <si>
    <t>Housing Loan Revolving Fund</t>
  </si>
  <si>
    <t>Tanzania Railways Limited</t>
  </si>
  <si>
    <t>Air Tanzania Corporation</t>
  </si>
  <si>
    <t>RAHCO</t>
  </si>
  <si>
    <t>Motor Vehicles Revolving Fund</t>
  </si>
  <si>
    <t>Current Grants to Financial Public Units</t>
  </si>
  <si>
    <t>Insurance Company</t>
  </si>
  <si>
    <t>Public Service Pension Fund</t>
  </si>
  <si>
    <t>Government Employees Provident Fund</t>
  </si>
  <si>
    <t>Parastatal Pension Fund</t>
  </si>
  <si>
    <t>National Social Security Fund</t>
  </si>
  <si>
    <t>National Health Insurance Fund</t>
  </si>
  <si>
    <t>Higher Education Students Loans Board</t>
  </si>
  <si>
    <t>Education Fund</t>
  </si>
  <si>
    <t>Local Government Loans Board</t>
  </si>
  <si>
    <t>National Science and Technology Fund</t>
  </si>
  <si>
    <t>Agricultural Input Trust Fund</t>
  </si>
  <si>
    <t>Local Government Pensions Fund</t>
  </si>
  <si>
    <t>Capital Markets and Stocks Authority</t>
  </si>
  <si>
    <t>Water Basin Boards</t>
  </si>
  <si>
    <t>Dar es Salaam Stock Exchange(DSE)</t>
  </si>
  <si>
    <t xml:space="preserve">Current Grants to Other Levels of Government </t>
  </si>
  <si>
    <t>District Councils</t>
  </si>
  <si>
    <t>Urban Councils</t>
  </si>
  <si>
    <t>Agriculture Transfers</t>
  </si>
  <si>
    <t>Education Transfers</t>
  </si>
  <si>
    <t>Health Transfers</t>
  </si>
  <si>
    <t>Road Transfers</t>
  </si>
  <si>
    <t>Water Transfers</t>
  </si>
  <si>
    <t>Administration Transfers</t>
  </si>
  <si>
    <t>Union contribution to SMZ</t>
  </si>
  <si>
    <t>Tanzania Mineral Audit Agency</t>
  </si>
  <si>
    <t>Constituency Development Fund Transfers</t>
  </si>
  <si>
    <t>Current Grants to Households &amp; Unincorporate business</t>
  </si>
  <si>
    <t>Women and Youth Development Fund</t>
  </si>
  <si>
    <t>Micro-Finance and Credit Schemes</t>
  </si>
  <si>
    <t>Plant Breeders Rights Development Fund</t>
  </si>
  <si>
    <t>Drug Control Fund</t>
  </si>
  <si>
    <t xml:space="preserve">Current Grants to Non-Profit Organizations </t>
  </si>
  <si>
    <t>ALAT contribution</t>
  </si>
  <si>
    <t>Social Security Benefits in Cash (Entitlements)</t>
  </si>
  <si>
    <t xml:space="preserve">Sickness  </t>
  </si>
  <si>
    <t xml:space="preserve">Invalidity </t>
  </si>
  <si>
    <t>MaternityLeave</t>
  </si>
  <si>
    <t>Child and Family Allowances</t>
  </si>
  <si>
    <t>Benefits for PLHA</t>
  </si>
  <si>
    <t>Social Assistance Benefits In-kind</t>
  </si>
  <si>
    <t>Medical Treatment abroad</t>
  </si>
  <si>
    <t>Life Saving Drugs</t>
  </si>
  <si>
    <t>Employer Social Benefits in Cash (welfare)</t>
  </si>
  <si>
    <t>(same as in above item but provided on a need basis</t>
  </si>
  <si>
    <t xml:space="preserve">  </t>
  </si>
  <si>
    <t>Food Security Distribution</t>
  </si>
  <si>
    <t>Emergency Medical Treatment</t>
  </si>
  <si>
    <t>Settlement of Medical Treatment Claims</t>
  </si>
  <si>
    <t>Training for the Handicapped</t>
  </si>
  <si>
    <t>Employer Social Benefits in Cash (defined)</t>
  </si>
  <si>
    <t>Employment Pensions</t>
  </si>
  <si>
    <t>Civil Servant Pensions</t>
  </si>
  <si>
    <t>Redundancy Payment</t>
  </si>
  <si>
    <t>Education Allowances</t>
  </si>
  <si>
    <t>Health Costs</t>
  </si>
  <si>
    <t>Accidental Death</t>
  </si>
  <si>
    <t>Convalescent Leave</t>
  </si>
  <si>
    <t>Employer Social Benefits In-kind</t>
  </si>
  <si>
    <t>Children's Education Support (Example)</t>
  </si>
  <si>
    <t>Education Support Fees (Example)</t>
  </si>
  <si>
    <t>Employee Health Care (Example)</t>
  </si>
  <si>
    <t>Property expense Other than Insurance</t>
  </si>
  <si>
    <t>Property Insurance Premiums</t>
  </si>
  <si>
    <t>Installations Insurance</t>
  </si>
  <si>
    <t xml:space="preserve">Vehicles Insurance </t>
  </si>
  <si>
    <t>Dividends (public units only)</t>
  </si>
  <si>
    <t xml:space="preserve">Rental of Non-Produced Assets </t>
  </si>
  <si>
    <t>Land (example - farm land)</t>
  </si>
  <si>
    <t>Sub-soil Deposits (example -gold)</t>
  </si>
  <si>
    <t>Naturally Occurring Assets (example cross border river flows)</t>
  </si>
  <si>
    <t>Intangibles Non-produced assets (example - copy rights)</t>
  </si>
  <si>
    <t>Miscellenious Other-Other Current Grants (not classified)</t>
  </si>
  <si>
    <t>Small Gifts, and Support for innovators (Example)</t>
  </si>
  <si>
    <t>Contingencies Non-Emergency expenses</t>
  </si>
  <si>
    <t>Legislative Election Reserve</t>
  </si>
  <si>
    <t>Arbitration Awards</t>
  </si>
  <si>
    <t>Compensations</t>
  </si>
  <si>
    <t>Domestic Debts</t>
  </si>
  <si>
    <t>Contractual Liabilities</t>
  </si>
  <si>
    <t>Cash and Cash Equivalent</t>
  </si>
  <si>
    <t>Own source Revenue collection cash Account</t>
  </si>
  <si>
    <t>Personal Emolment Cash Account</t>
  </si>
  <si>
    <t>Other charges Cash Account</t>
  </si>
  <si>
    <t>Development Cash Account</t>
  </si>
  <si>
    <t>Road Fund Account</t>
  </si>
  <si>
    <t>Misc. Deposit Cash Account</t>
  </si>
  <si>
    <t>Other cash accounts</t>
  </si>
  <si>
    <t>690307 - 690399</t>
  </si>
  <si>
    <t>Receivables and prepayments</t>
  </si>
  <si>
    <t>Debtors, advances, loans e.t.c</t>
  </si>
  <si>
    <t>Rates receivables</t>
  </si>
  <si>
    <t>Imprest Control Account</t>
  </si>
  <si>
    <t>Related party receivables</t>
  </si>
  <si>
    <t>Amounts due from customers for contract work</t>
  </si>
  <si>
    <t>Community loans</t>
  </si>
  <si>
    <t>Sundry debtors</t>
  </si>
  <si>
    <t>Prepayments</t>
  </si>
  <si>
    <t>Loans to related parties (note .....) e.g. Car loans, housing etc</t>
  </si>
  <si>
    <t>Staff advances</t>
  </si>
  <si>
    <t>Staff loans</t>
  </si>
  <si>
    <t>Other receivables</t>
  </si>
  <si>
    <t>Add as necessary</t>
  </si>
  <si>
    <t>Other Financial Assets</t>
  </si>
  <si>
    <t>Debts to Domestic Non-Financial Public Enterprises</t>
  </si>
  <si>
    <t>610201 - 610299</t>
  </si>
  <si>
    <t>Loans to Domestic Financial Enterprises</t>
  </si>
  <si>
    <t>610301 - 610399</t>
  </si>
  <si>
    <t>Other Domestic Lending &amp; On lending</t>
  </si>
  <si>
    <t>610401 - 610499</t>
  </si>
  <si>
    <t>Loans to International Organizations</t>
  </si>
  <si>
    <t>620101 - 620199</t>
  </si>
  <si>
    <t>Loans to Foreign Financial Institutions</t>
  </si>
  <si>
    <t>620201 - 620299</t>
  </si>
  <si>
    <t>Loans to Other Foreign Non-Financial Organizations</t>
  </si>
  <si>
    <t>620301 - 620399</t>
  </si>
  <si>
    <t>Shares &amp; Other Financial Assets</t>
  </si>
  <si>
    <t>Equity in Public Non-Financial Institutions</t>
  </si>
  <si>
    <t>630101 - 630199</t>
  </si>
  <si>
    <t>Equity in Public Financial Enterprises (LGLB, etc)</t>
  </si>
  <si>
    <t>630201 - 630299</t>
  </si>
  <si>
    <t>Equity in Private Non-Financial Enterprises</t>
  </si>
  <si>
    <t>630301 - 630399</t>
  </si>
  <si>
    <t>Equity in Private Financial Enterprises</t>
  </si>
  <si>
    <t>630401 - 630499</t>
  </si>
  <si>
    <t xml:space="preserve">Equity in Other Holdings </t>
  </si>
  <si>
    <t>630501 - 630599</t>
  </si>
  <si>
    <t xml:space="preserve">Equity Holdings in International Organizations  </t>
  </si>
  <si>
    <t>640101 - 640199</t>
  </si>
  <si>
    <t>Equity Holdings in Domestic Financial Institutions Operating Abroad</t>
  </si>
  <si>
    <t>640201 - 640299</t>
  </si>
  <si>
    <t xml:space="preserve">Equity Holdings in Foreign Enterprises </t>
  </si>
  <si>
    <t>640301 - 640399</t>
  </si>
  <si>
    <t>Payables</t>
  </si>
  <si>
    <t>Sundry Creditors</t>
  </si>
  <si>
    <t>Deposits</t>
  </si>
  <si>
    <t>331203-209</t>
  </si>
  <si>
    <t xml:space="preserve">Employee benefits </t>
  </si>
  <si>
    <t xml:space="preserve">Provisions </t>
  </si>
  <si>
    <t>Short - term borrowings</t>
  </si>
  <si>
    <t>Long - term borrowings</t>
  </si>
  <si>
    <t xml:space="preserve">Inventory </t>
  </si>
  <si>
    <t xml:space="preserve">Materials and Supplies </t>
  </si>
  <si>
    <t>Fuel</t>
  </si>
  <si>
    <t>Grains</t>
  </si>
  <si>
    <t>Raw materials</t>
  </si>
  <si>
    <t>Work in progress</t>
  </si>
  <si>
    <t>Drugs and equipment</t>
  </si>
  <si>
    <t>Building materials and equipment</t>
  </si>
  <si>
    <t>Spare parts</t>
  </si>
  <si>
    <t>Primary books</t>
  </si>
  <si>
    <t>Finished goods</t>
  </si>
  <si>
    <t>Goods in transit</t>
  </si>
  <si>
    <t>Stationery</t>
  </si>
  <si>
    <t>Loose tools</t>
  </si>
  <si>
    <t>Election goods</t>
  </si>
  <si>
    <t>(list by purchase)</t>
  </si>
  <si>
    <t>Deferred income (Recurrent Grant) (Note 11)</t>
  </si>
  <si>
    <t>Deferred income (Capital Grant) (Note 40)</t>
  </si>
  <si>
    <t>Accumulated surplus (SCNA)</t>
  </si>
  <si>
    <t>Deferred Income</t>
  </si>
  <si>
    <t>Capital grant</t>
  </si>
  <si>
    <t>This relates to items of property, plant and equipment received from various donors and the Government.</t>
  </si>
  <si>
    <t>Cost</t>
  </si>
  <si>
    <t>At the beginning of the year</t>
  </si>
  <si>
    <t>xxx</t>
  </si>
  <si>
    <t>Transfer from revaluation surplus</t>
  </si>
  <si>
    <t>Add: Addition during the year</t>
  </si>
  <si>
    <t>Amortisation of capital grant (due to impairment/disposal)</t>
  </si>
  <si>
    <t>At the end of the year</t>
  </si>
  <si>
    <t>Accumulated amortisation</t>
  </si>
  <si>
    <t>Amortisation of capital grant</t>
  </si>
  <si>
    <t>Carrying amount</t>
  </si>
  <si>
    <t>xxxx</t>
  </si>
  <si>
    <t>TAARIFA YA MAPATO KWA KIPINDI CHA MWEZI   JULAI -  2015</t>
  </si>
  <si>
    <t>BAJETI 2015/2016  (MAKISIO)</t>
  </si>
  <si>
    <t>MAPATO JULAI- 2015</t>
  </si>
  <si>
    <t xml:space="preserve"> JULAI,2015 - JULAI, 2015</t>
  </si>
  <si>
    <t xml:space="preserve"> JULAI, 2015 - JULAI, 2015</t>
  </si>
  <si>
    <t>LGCDG - (CDG-CBG)</t>
  </si>
  <si>
    <t>Other Development Grants (EQUIP)</t>
  </si>
  <si>
    <t>Fidia ya Mapato (GPG)</t>
  </si>
  <si>
    <t>Kilimo na Mifugo</t>
  </si>
  <si>
    <t>Fedha na Biashara</t>
  </si>
  <si>
    <t>Utawala (GS2 and Abave)</t>
  </si>
  <si>
    <t>Kilimo, Umwagiliaji na Ushirika</t>
  </si>
  <si>
    <t>JUMLA YA PE - MISHAHARA</t>
  </si>
  <si>
    <t>Elimu Msingi Likizo  (Leave)</t>
  </si>
  <si>
    <t>Elimu Sekondari Likizo  (Leave)</t>
  </si>
  <si>
    <t>Elimu Sekondari Uhamisho  (Moving)</t>
  </si>
  <si>
    <t>Elimu Msingi Uhamisho  (Moving)</t>
  </si>
  <si>
    <t>TAARIFA YA MAPATO KWA KIPINDI CHA MWEZI  AUGUST -  2015</t>
  </si>
  <si>
    <t>MAPATO AUGUST- 2015</t>
  </si>
  <si>
    <t>TASAF</t>
  </si>
  <si>
    <t>KIINUA MGONGO MADIWANI (GRATUITY OF CONCILLORS)</t>
  </si>
  <si>
    <t xml:space="preserve"> JULAI,2015 - AUGUST, 2015</t>
  </si>
  <si>
    <t>TAARIFA YA MAPATO KWA KIPINDI CHA MWEZI  SEPTEMBER -  2015</t>
  </si>
  <si>
    <t xml:space="preserve"> JULAI, 2015 - AUGUST, 2015</t>
  </si>
  <si>
    <t>MAPATO SEPTEMBER - 2015</t>
  </si>
  <si>
    <t xml:space="preserve"> JULAI,2015 - SEPTEMBER, 2015</t>
  </si>
  <si>
    <t>TAARIFA YA MAPATO KWA KIPINDI CHA MWEZI  OCTOBER -  2015</t>
  </si>
  <si>
    <t xml:space="preserve"> JULAI, 2015 - SEPTEMBER, 2015</t>
  </si>
  <si>
    <t>MAPATO OCTOBER - 2015</t>
  </si>
  <si>
    <t xml:space="preserve"> JULAI,2015 - OCTOBER, 2015</t>
  </si>
  <si>
    <t>Kodi ya Huduma (ACACIA)</t>
  </si>
  <si>
    <t>Kodi ya Huduma (MDC)</t>
  </si>
  <si>
    <t>Ukodishwaji Mitambo ya Barabara</t>
  </si>
  <si>
    <t>OWN SOURCE REVENUE COLLECTION REPORT 2015/2016</t>
  </si>
  <si>
    <t>SERVICE LEVY - BULYANHURU</t>
  </si>
  <si>
    <t>NAME</t>
  </si>
  <si>
    <t>RECEIPT NO:</t>
  </si>
  <si>
    <t>DATE</t>
  </si>
  <si>
    <t>AMOUNT PAID</t>
  </si>
  <si>
    <t>02660</t>
  </si>
  <si>
    <t>Bulyanhulu Gold Mine CO LTD</t>
  </si>
  <si>
    <t>DENI 2014/2015</t>
  </si>
  <si>
    <t>PERIOD OF PAYMENT</t>
  </si>
  <si>
    <t>JULY,2015 - DEC,2015</t>
  </si>
  <si>
    <t>03732</t>
  </si>
  <si>
    <t>"0028801</t>
  </si>
  <si>
    <t>"0028900</t>
  </si>
  <si>
    <t>"0028901</t>
  </si>
  <si>
    <t>"0028401</t>
  </si>
  <si>
    <t>"0028500</t>
  </si>
  <si>
    <t>"0028501</t>
  </si>
  <si>
    <t>"0029000</t>
  </si>
  <si>
    <t>"0028601</t>
  </si>
  <si>
    <t>"0029001</t>
  </si>
  <si>
    <t>"0029700</t>
  </si>
  <si>
    <t>"0028301</t>
  </si>
  <si>
    <t>"0028400</t>
  </si>
  <si>
    <t>"0029201</t>
  </si>
  <si>
    <t>"0029300</t>
  </si>
  <si>
    <t>"0029100</t>
  </si>
  <si>
    <t>"0029101</t>
  </si>
  <si>
    <t>"0028701</t>
  </si>
  <si>
    <t>"0028800</t>
  </si>
  <si>
    <t>"0029134</t>
  </si>
  <si>
    <t>"0028513</t>
  </si>
  <si>
    <t>WE0 - SEGESE MAREJESHO 2WKS</t>
  </si>
  <si>
    <t>"0029901</t>
  </si>
  <si>
    <t>"0030000</t>
  </si>
  <si>
    <t>"0024001</t>
  </si>
  <si>
    <t>"0024100</t>
  </si>
  <si>
    <t>"0038101</t>
  </si>
  <si>
    <t>"0038200</t>
  </si>
  <si>
    <t>WEO-BULIGE MAREJESHO YA 2WKS</t>
  </si>
  <si>
    <t>Deni</t>
  </si>
  <si>
    <t xml:space="preserve">Kodi ya Huduma (ACACIA) </t>
  </si>
  <si>
    <t xml:space="preserve">Kodi ya Huduma (OTHERS) </t>
  </si>
  <si>
    <t>Ununuzi wa Vitabu vya Mapato - HW5</t>
  </si>
  <si>
    <t>BAJETI 2016/2017  (MAKISIO)</t>
  </si>
  <si>
    <t xml:space="preserve"> JULAI, 2016 - JULAI, 2016</t>
  </si>
  <si>
    <t>MAPATO JULAI - 2016</t>
  </si>
  <si>
    <t xml:space="preserve"> JULAI,2016 - JULAI, 2016</t>
  </si>
  <si>
    <t>MIRADI YA MAENDELEO YA FEDHA ZA SERIKALI</t>
  </si>
  <si>
    <t>JUMLA YA MIRADI YA MAENDELEO FEDHA ZA SERIKALI</t>
  </si>
  <si>
    <t>LGCDG - 6277</t>
  </si>
  <si>
    <t>RWSSP</t>
  </si>
  <si>
    <t>MIRADI YA MAENDELEO YA FEDHA ZA WAFADHILI</t>
  </si>
  <si>
    <t>JUMLA YA MIRADI YA MAENDELEO FEDHA ZA WAFADHILI</t>
  </si>
  <si>
    <t>SEDP</t>
  </si>
  <si>
    <t xml:space="preserve">HSBF </t>
  </si>
  <si>
    <t>EQUIP</t>
  </si>
  <si>
    <t>UNICEF</t>
  </si>
  <si>
    <t>RBF</t>
  </si>
  <si>
    <t>HIV</t>
  </si>
  <si>
    <t>Elimu   Sekondari OC</t>
  </si>
  <si>
    <t>On Call Allowances</t>
  </si>
  <si>
    <t xml:space="preserve">Elimu Msingi OC </t>
  </si>
  <si>
    <t>CDCF (Mfuko wa Jimbo)</t>
  </si>
  <si>
    <t>Ujenzi wa Ofisi</t>
  </si>
  <si>
    <t>Special Project</t>
  </si>
  <si>
    <t>Elimu Msingi Mtihani Darasa La (IV) na (VII)</t>
  </si>
  <si>
    <t>Elimu Msingi Mtihani Wakidato Cha (II) na (IV)</t>
  </si>
  <si>
    <t>Afya OC</t>
  </si>
  <si>
    <t>Ujenzi OC</t>
  </si>
  <si>
    <t>Maji OC</t>
  </si>
  <si>
    <t>Utawala (GS2 and Abave) OC</t>
  </si>
  <si>
    <t>Mkaguzi wa Ndani OC</t>
  </si>
  <si>
    <t>Mipango OC</t>
  </si>
  <si>
    <t>Fedha na Biashara OC</t>
  </si>
  <si>
    <t>Ardhi OC</t>
  </si>
  <si>
    <t>Mazingira OC</t>
  </si>
  <si>
    <t>Maliasili OC</t>
  </si>
  <si>
    <t>Nyuki OC</t>
  </si>
  <si>
    <t>Maendeleo ya Jamii OC</t>
  </si>
  <si>
    <t>Ushirika OC</t>
  </si>
  <si>
    <t>Kilimo OC</t>
  </si>
  <si>
    <t>Mifugo OC</t>
  </si>
  <si>
    <t xml:space="preserve">TAARIFA YA MAPATO KWA KIPINDI CHA MWEZI  JULAI  2016  </t>
  </si>
  <si>
    <t>General Purpose Grant (Fidia  vyanzo vya mapato)</t>
  </si>
  <si>
    <t>`</t>
  </si>
  <si>
    <t>AGPAHI</t>
  </si>
  <si>
    <t>%</t>
  </si>
  <si>
    <t>BAJETI 2017/2018  (MAKISIO)</t>
  </si>
  <si>
    <t xml:space="preserve">Kodi ya Huduma </t>
  </si>
  <si>
    <t>Maliasili /Ardhi</t>
  </si>
  <si>
    <t>Kodi ya Huduma (OTHERS)</t>
  </si>
  <si>
    <t>Leseni nyinginezo( Wachenjuaji</t>
  </si>
  <si>
    <t>WORLD BANK(RBF)</t>
  </si>
  <si>
    <t>IDARA YA ARDHI</t>
  </si>
  <si>
    <t>TAARIFA YA MAPATO KWA KIPINDI CHA MWEZI  JULAI 2018</t>
  </si>
  <si>
    <t>Ushuru wa Minara ya Simu</t>
  </si>
  <si>
    <t xml:space="preserve"> JULAI 2018 -JULAI -2018</t>
  </si>
  <si>
    <t>MAPATO JULAI-2018</t>
  </si>
  <si>
    <t xml:space="preserve"> JULAI 2018-JULAI  2018</t>
  </si>
  <si>
    <t>Proprty Tax</t>
  </si>
  <si>
    <t>NUTRITION</t>
  </si>
  <si>
    <t>NWSSP</t>
  </si>
  <si>
    <t>EQUIP TZ</t>
  </si>
  <si>
    <t>Ruzuku ya Mishahara</t>
  </si>
  <si>
    <t>SEDEP</t>
  </si>
  <si>
    <t>USAFI NA MAZINGIRA</t>
  </si>
  <si>
    <t>NATIONAL SANITATION PROGRAM</t>
  </si>
  <si>
    <t>Elimu Bure</t>
  </si>
  <si>
    <t>FEDHA ZA CAPITATION ELIMU MSINGI/ SEKONDARI</t>
  </si>
  <si>
    <t>Makao Makuu na Hospitali</t>
  </si>
  <si>
    <t>Uchangiaji wa huduma za Afya</t>
  </si>
  <si>
    <t>NHIF</t>
  </si>
  <si>
    <t>MSD</t>
  </si>
  <si>
    <t>TAARIFA YA MAPATO KWA KIPINDI CHA MWEZI  AGOSTI 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</si>
  <si>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</si>
  <si>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</si>
  <si>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</t>
  </si>
  <si>
    <t>Mfuko wa Elimu</t>
  </si>
  <si>
    <t>MAPATO AGOSTI-2018</t>
  </si>
  <si>
    <t xml:space="preserve"> JULAI 2018-AGOSTI  2018</t>
  </si>
  <si>
    <t xml:space="preserve"> JULAI 2018 </t>
  </si>
  <si>
    <t>TAARIFA YA MAPATO KWA KIPINDI CHA MWEZI  SEPTEMBA 2018</t>
  </si>
  <si>
    <t xml:space="preserve"> JULAI 2018 -AGOSTI -2018</t>
  </si>
  <si>
    <t>MAPATO SEPTEMBA-2018</t>
  </si>
  <si>
    <t xml:space="preserve"> JULAI 2018-SEPTEMBA  2018</t>
  </si>
  <si>
    <t>LISHE</t>
  </si>
  <si>
    <t>BAJETI 2018/2019  (MAKISIO)</t>
  </si>
  <si>
    <t>KITUO CHA AFYA NGAYA</t>
  </si>
  <si>
    <t>HEALTH OTHERS</t>
  </si>
  <si>
    <t xml:space="preserve"> JULAI 2018 -SEPT -2018</t>
  </si>
  <si>
    <t>MAPATO OKTOBA-2018</t>
  </si>
  <si>
    <t xml:space="preserve"> JULAI 2018-OKTOBA  2018</t>
  </si>
  <si>
    <t>TAARIFA YA MAPATO KWA KIPINDI CHA MWEZI  OKTOBA 2018</t>
  </si>
  <si>
    <t>MCHANGANUO WA MATUMIZI</t>
  </si>
  <si>
    <t>BAJETI 2018/2019</t>
  </si>
  <si>
    <t>MATUMIZI JULAI-SEPTEMBA 2018</t>
  </si>
  <si>
    <t>MATUMIZI OKTOBA</t>
  </si>
  <si>
    <t>JUMLA YA MATUMIZI JULAI-OKTOBA</t>
  </si>
  <si>
    <t>2017/2018</t>
  </si>
  <si>
    <t>ASILIMIA               (%)</t>
  </si>
  <si>
    <t>Matumizi ya kawaida</t>
  </si>
  <si>
    <t>(Mapato ya ndani)</t>
  </si>
  <si>
    <t xml:space="preserve">Mishahara </t>
  </si>
  <si>
    <t>Miradi ya Maendeleo</t>
  </si>
  <si>
    <t>Mishahara</t>
  </si>
  <si>
    <t>matumizi mengineyo (OC)</t>
  </si>
  <si>
    <t>Miradi ya Mandeleo</t>
  </si>
  <si>
    <t>(Ruzuku)</t>
  </si>
  <si>
    <t>MCHANGANUO WA MAPATO</t>
  </si>
  <si>
    <t>MAPATO JULAI-SEPTEMBA</t>
  </si>
  <si>
    <t>MAPATO OKTOBA</t>
  </si>
  <si>
    <t>JUMLA YA MAPATO JULAI-OKTOBA</t>
  </si>
  <si>
    <t>Mapato ya ndani</t>
  </si>
  <si>
    <t xml:space="preserve">   </t>
  </si>
  <si>
    <t>Ruzuku ya  maendeleo</t>
  </si>
  <si>
    <t>TAARIFA YA MAPATO KWA KIPINDI CHA MWEZI  NOVEMBA  2018</t>
  </si>
  <si>
    <t xml:space="preserve"> JULAI 2018 -OKTOBA -2018</t>
  </si>
  <si>
    <t>MAPATO NOVEMBA-2018</t>
  </si>
  <si>
    <t xml:space="preserve"> JULAI 2018-NOVEMBA 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</si>
</sst>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* #,##0.0_);_(* \(#,##0.0\);_(* &quot;-&quot;??_);_(@_)"/>
    <numFmt numFmtId="186" formatCode="0.000000000"/>
    <numFmt numFmtId="187" formatCode="_(* #,##0.000_);_(* \(#,##0.000\);_(* &quot;-&quot;??_);_(@_)"/>
    <numFmt numFmtId="188" formatCode="_(* #,##0.0000_);_(* \(#,##0.0000\);_(* &quot;-&quot;??_);_(@_)"/>
    <numFmt numFmtId="189" formatCode="[$-409]dddd\,\ mmmm\ d\,\ yyyy"/>
    <numFmt numFmtId="190" formatCode="[$-409]h:mm:ss\ AM/PM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name val="Footlight MT Light"/>
      <family val="1"/>
    </font>
    <font>
      <sz val="12"/>
      <color indexed="8"/>
      <name val="Footlight MT Light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Footlight MT Light"/>
      <family val="1"/>
    </font>
    <font>
      <i/>
      <sz val="12"/>
      <name val="Footlight MT Light"/>
      <family val="1"/>
    </font>
    <font>
      <sz val="10"/>
      <name val="Arial"/>
      <family val="2"/>
    </font>
    <font>
      <b/>
      <sz val="12"/>
      <name val="Footlight MT Light"/>
      <family val="1"/>
    </font>
    <font>
      <b/>
      <sz val="12"/>
      <color indexed="8"/>
      <name val="Footlight MT Light"/>
      <family val="1"/>
    </font>
    <font>
      <b/>
      <u val="single"/>
      <sz val="12"/>
      <name val="Footlight MT Light"/>
      <family val="1"/>
    </font>
    <font>
      <sz val="12"/>
      <name val="Times New Roman"/>
      <family val="1"/>
    </font>
    <font>
      <b/>
      <sz val="14"/>
      <name val="Footlight MT Light"/>
      <family val="1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name val="Footlight MT L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Footlight MT Light"/>
      <family val="1"/>
    </font>
    <font>
      <sz val="11"/>
      <color indexed="8"/>
      <name val="Footlight MT Light"/>
      <family val="1"/>
    </font>
    <font>
      <sz val="12"/>
      <color indexed="8"/>
      <name val="Cambria"/>
      <family val="1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1"/>
      <color theme="1"/>
      <name val="Footlight MT Light"/>
      <family val="1"/>
    </font>
    <font>
      <b/>
      <sz val="12"/>
      <color rgb="FF000000"/>
      <name val="Footlight MT Light"/>
      <family val="1"/>
    </font>
    <font>
      <sz val="11"/>
      <color theme="1"/>
      <name val="Footlight MT Light"/>
      <family val="1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/>
      <top style="double"/>
      <bottom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3" fontId="7" fillId="0" borderId="0" xfId="42" applyFont="1" applyFill="1" applyAlignment="1">
      <alignment/>
    </xf>
    <xf numFmtId="43" fontId="7" fillId="0" borderId="0" xfId="42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3" fontId="1" fillId="0" borderId="0" xfId="42" applyFont="1" applyFill="1" applyAlignment="1">
      <alignment/>
    </xf>
    <xf numFmtId="43" fontId="1" fillId="0" borderId="0" xfId="42" applyFont="1" applyAlignment="1">
      <alignment/>
    </xf>
    <xf numFmtId="1" fontId="0" fillId="0" borderId="0" xfId="0" applyNumberFormat="1" applyFont="1" applyFill="1" applyAlignment="1">
      <alignment/>
    </xf>
    <xf numFmtId="43" fontId="6" fillId="0" borderId="0" xfId="42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left"/>
    </xf>
    <xf numFmtId="43" fontId="1" fillId="0" borderId="0" xfId="42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48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43" fontId="27" fillId="0" borderId="0" xfId="42" applyFont="1" applyFill="1" applyBorder="1" applyAlignment="1">
      <alignment/>
    </xf>
    <xf numFmtId="43" fontId="1" fillId="0" borderId="0" xfId="42" applyFont="1" applyFill="1" applyBorder="1" applyAlignment="1">
      <alignment/>
    </xf>
    <xf numFmtId="43" fontId="48" fillId="0" borderId="0" xfId="42" applyFont="1" applyFill="1" applyBorder="1" applyAlignment="1">
      <alignment horizontal="center"/>
    </xf>
    <xf numFmtId="43" fontId="49" fillId="0" borderId="0" xfId="42" applyFont="1" applyFill="1" applyBorder="1" applyAlignment="1">
      <alignment/>
    </xf>
    <xf numFmtId="0" fontId="48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" fontId="48" fillId="0" borderId="0" xfId="42" applyNumberFormat="1" applyFont="1" applyFill="1" applyBorder="1" applyAlignment="1">
      <alignment horizontal="center"/>
    </xf>
    <xf numFmtId="1" fontId="48" fillId="0" borderId="0" xfId="42" applyNumberFormat="1" applyFont="1" applyFill="1" applyAlignment="1">
      <alignment horizontal="center"/>
    </xf>
    <xf numFmtId="43" fontId="48" fillId="0" borderId="10" xfId="42" applyFont="1" applyFill="1" applyBorder="1" applyAlignment="1">
      <alignment/>
    </xf>
    <xf numFmtId="0" fontId="5" fillId="0" borderId="11" xfId="0" applyFont="1" applyBorder="1" applyAlignment="1">
      <alignment/>
    </xf>
    <xf numFmtId="43" fontId="5" fillId="0" borderId="11" xfId="42" applyFont="1" applyFill="1" applyBorder="1" applyAlignment="1">
      <alignment/>
    </xf>
    <xf numFmtId="172" fontId="5" fillId="0" borderId="11" xfId="42" applyNumberFormat="1" applyFont="1" applyFill="1" applyBorder="1" applyAlignment="1">
      <alignment/>
    </xf>
    <xf numFmtId="1" fontId="50" fillId="0" borderId="11" xfId="42" applyNumberFormat="1" applyFont="1" applyFill="1" applyBorder="1" applyAlignment="1">
      <alignment horizontal="right"/>
    </xf>
    <xf numFmtId="43" fontId="5" fillId="0" borderId="11" xfId="42" applyNumberFormat="1" applyFont="1" applyFill="1" applyBorder="1" applyAlignment="1">
      <alignment/>
    </xf>
    <xf numFmtId="43" fontId="48" fillId="0" borderId="11" xfId="42" applyFont="1" applyFill="1" applyBorder="1" applyAlignment="1">
      <alignment/>
    </xf>
    <xf numFmtId="43" fontId="49" fillId="0" borderId="11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43" fontId="48" fillId="0" borderId="12" xfId="42" applyFont="1" applyFill="1" applyBorder="1" applyAlignment="1">
      <alignment/>
    </xf>
    <xf numFmtId="43" fontId="27" fillId="0" borderId="12" xfId="42" applyFont="1" applyFill="1" applyBorder="1" applyAlignment="1">
      <alignment/>
    </xf>
    <xf numFmtId="43" fontId="49" fillId="0" borderId="12" xfId="42" applyFont="1" applyFill="1" applyBorder="1" applyAlignment="1">
      <alignment/>
    </xf>
    <xf numFmtId="1" fontId="49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43" fontId="51" fillId="0" borderId="12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3" fontId="9" fillId="0" borderId="11" xfId="42" applyFont="1" applyFill="1" applyBorder="1" applyAlignment="1">
      <alignment/>
    </xf>
    <xf numFmtId="43" fontId="49" fillId="0" borderId="13" xfId="42" applyFont="1" applyFill="1" applyBorder="1" applyAlignment="1">
      <alignment/>
    </xf>
    <xf numFmtId="43" fontId="5" fillId="0" borderId="14" xfId="42" applyFont="1" applyFill="1" applyBorder="1" applyAlignment="1">
      <alignment/>
    </xf>
    <xf numFmtId="43" fontId="5" fillId="0" borderId="15" xfId="42" applyFont="1" applyFill="1" applyBorder="1" applyAlignment="1">
      <alignment/>
    </xf>
    <xf numFmtId="43" fontId="5" fillId="0" borderId="10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0" fontId="5" fillId="0" borderId="11" xfId="0" applyFont="1" applyFill="1" applyBorder="1" applyAlignment="1">
      <alignment/>
    </xf>
    <xf numFmtId="43" fontId="5" fillId="0" borderId="11" xfId="42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wrapText="1"/>
    </xf>
    <xf numFmtId="171" fontId="5" fillId="0" borderId="11" xfId="42" applyNumberFormat="1" applyFont="1" applyFill="1" applyBorder="1" applyAlignment="1">
      <alignment/>
    </xf>
    <xf numFmtId="43" fontId="51" fillId="0" borderId="0" xfId="42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center"/>
    </xf>
    <xf numFmtId="43" fontId="5" fillId="0" borderId="16" xfId="42" applyFont="1" applyFill="1" applyBorder="1" applyAlignment="1">
      <alignment/>
    </xf>
    <xf numFmtId="0" fontId="27" fillId="0" borderId="0" xfId="0" applyFont="1" applyBorder="1" applyAlignment="1">
      <alignment/>
    </xf>
    <xf numFmtId="0" fontId="1" fillId="0" borderId="11" xfId="0" applyFont="1" applyBorder="1" applyAlignment="1">
      <alignment/>
    </xf>
    <xf numFmtId="39" fontId="5" fillId="0" borderId="11" xfId="42" applyNumberFormat="1" applyFont="1" applyFill="1" applyBorder="1" applyAlignment="1">
      <alignment/>
    </xf>
    <xf numFmtId="0" fontId="86" fillId="0" borderId="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right" vertical="top"/>
    </xf>
    <xf numFmtId="0" fontId="11" fillId="0" borderId="17" xfId="0" applyFont="1" applyFill="1" applyBorder="1" applyAlignment="1" quotePrefix="1">
      <alignment horizontal="right" vertical="top"/>
    </xf>
    <xf numFmtId="0" fontId="11" fillId="0" borderId="17" xfId="0" applyFont="1" applyBorder="1" applyAlignment="1" quotePrefix="1">
      <alignment horizontal="right" vertical="top"/>
    </xf>
    <xf numFmtId="0" fontId="12" fillId="0" borderId="17" xfId="0" applyFont="1" applyFill="1" applyBorder="1" applyAlignment="1" quotePrefix="1">
      <alignment horizontal="right"/>
    </xf>
    <xf numFmtId="0" fontId="5" fillId="0" borderId="11" xfId="0" applyFont="1" applyBorder="1" applyAlignment="1" quotePrefix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right"/>
    </xf>
    <xf numFmtId="0" fontId="89" fillId="33" borderId="1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left"/>
    </xf>
    <xf numFmtId="0" fontId="88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88" fillId="0" borderId="17" xfId="0" applyFont="1" applyFill="1" applyBorder="1" applyAlignment="1">
      <alignment/>
    </xf>
    <xf numFmtId="0" fontId="15" fillId="0" borderId="17" xfId="61" applyFont="1" applyFill="1" applyBorder="1" applyAlignment="1">
      <alignment vertical="top"/>
      <protection/>
    </xf>
    <xf numFmtId="0" fontId="16" fillId="0" borderId="17" xfId="0" applyFont="1" applyFill="1" applyBorder="1" applyAlignment="1" quotePrefix="1">
      <alignment horizontal="right" vertical="top"/>
    </xf>
    <xf numFmtId="0" fontId="12" fillId="0" borderId="17" xfId="61" applyFont="1" applyFill="1" applyBorder="1" applyAlignment="1">
      <alignment vertical="top"/>
      <protection/>
    </xf>
    <xf numFmtId="0" fontId="19" fillId="0" borderId="17" xfId="61" applyFont="1" applyFill="1" applyBorder="1" applyAlignment="1">
      <alignment/>
      <protection/>
    </xf>
    <xf numFmtId="0" fontId="11" fillId="0" borderId="17" xfId="0" applyFont="1" applyFill="1" applyBorder="1" applyAlignment="1">
      <alignment/>
    </xf>
    <xf numFmtId="0" fontId="88" fillId="0" borderId="17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1" fillId="0" borderId="17" xfId="59" applyNumberFormat="1" applyFont="1" applyFill="1" applyBorder="1" applyAlignment="1">
      <alignment vertical="top" wrapText="1"/>
      <protection/>
    </xf>
    <xf numFmtId="0" fontId="11" fillId="0" borderId="17" xfId="59" applyNumberFormat="1" applyFont="1" applyFill="1" applyBorder="1" applyAlignment="1">
      <alignment horizontal="right" vertical="top"/>
      <protection/>
    </xf>
    <xf numFmtId="0" fontId="18" fillId="0" borderId="17" xfId="59" applyNumberFormat="1" applyFont="1" applyFill="1" applyBorder="1" applyAlignment="1">
      <alignment vertical="top" wrapText="1"/>
      <protection/>
    </xf>
    <xf numFmtId="0" fontId="11" fillId="0" borderId="17" xfId="59" applyNumberFormat="1" applyFont="1" applyFill="1" applyBorder="1" applyAlignment="1">
      <alignment vertical="top"/>
      <protection/>
    </xf>
    <xf numFmtId="0" fontId="18" fillId="0" borderId="17" xfId="59" applyNumberFormat="1" applyFont="1" applyFill="1" applyBorder="1" applyAlignment="1">
      <alignment vertical="top"/>
      <protection/>
    </xf>
    <xf numFmtId="0" fontId="18" fillId="0" borderId="17" xfId="59" applyNumberFormat="1" applyFont="1" applyBorder="1" applyAlignment="1">
      <alignment horizontal="left" vertical="top"/>
      <protection/>
    </xf>
    <xf numFmtId="0" fontId="89" fillId="0" borderId="17" xfId="0" applyFont="1" applyBorder="1" applyAlignment="1">
      <alignment wrapText="1"/>
    </xf>
    <xf numFmtId="0" fontId="11" fillId="0" borderId="17" xfId="59" applyNumberFormat="1" applyFont="1" applyBorder="1" applyAlignment="1">
      <alignment vertical="top" wrapText="1"/>
      <protection/>
    </xf>
    <xf numFmtId="0" fontId="11" fillId="0" borderId="17" xfId="59" applyNumberFormat="1" applyFont="1" applyFill="1" applyBorder="1" applyAlignment="1">
      <alignment horizontal="right" vertical="top" wrapText="1"/>
      <protection/>
    </xf>
    <xf numFmtId="0" fontId="89" fillId="0" borderId="17" xfId="0" applyFont="1" applyFill="1" applyBorder="1" applyAlignment="1">
      <alignment/>
    </xf>
    <xf numFmtId="0" fontId="18" fillId="0" borderId="17" xfId="0" applyNumberFormat="1" applyFont="1" applyBorder="1" applyAlignment="1">
      <alignment horizontal="left" vertical="top"/>
    </xf>
    <xf numFmtId="0" fontId="11" fillId="0" borderId="17" xfId="59" applyNumberFormat="1" applyFont="1" applyFill="1" applyBorder="1" applyAlignment="1">
      <alignment horizontal="left" vertical="top"/>
      <protection/>
    </xf>
    <xf numFmtId="0" fontId="89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8" fillId="0" borderId="17" xfId="59" applyNumberFormat="1" applyFont="1" applyFill="1" applyBorder="1" applyAlignment="1">
      <alignment horizontal="right" vertical="top"/>
      <protection/>
    </xf>
    <xf numFmtId="0" fontId="12" fillId="0" borderId="17" xfId="61" applyFont="1" applyBorder="1" applyAlignment="1">
      <alignment/>
      <protection/>
    </xf>
    <xf numFmtId="172" fontId="18" fillId="0" borderId="17" xfId="0" applyNumberFormat="1" applyFont="1" applyFill="1" applyBorder="1" applyAlignment="1">
      <alignment horizontal="left"/>
    </xf>
    <xf numFmtId="172" fontId="18" fillId="0" borderId="17" xfId="44" applyNumberFormat="1" applyFont="1" applyFill="1" applyBorder="1" applyAlignment="1">
      <alignment/>
    </xf>
    <xf numFmtId="172" fontId="11" fillId="0" borderId="17" xfId="44" applyNumberFormat="1" applyFont="1" applyFill="1" applyBorder="1" applyAlignment="1">
      <alignment/>
    </xf>
    <xf numFmtId="172" fontId="18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89" fillId="0" borderId="17" xfId="0" applyFont="1" applyBorder="1" applyAlignment="1">
      <alignment/>
    </xf>
    <xf numFmtId="0" fontId="12" fillId="0" borderId="17" xfId="59" applyNumberFormat="1" applyFont="1" applyFill="1" applyBorder="1" applyAlignment="1">
      <alignment vertical="top"/>
      <protection/>
    </xf>
    <xf numFmtId="0" fontId="90" fillId="0" borderId="17" xfId="0" applyFont="1" applyBorder="1" applyAlignment="1">
      <alignment/>
    </xf>
    <xf numFmtId="0" fontId="88" fillId="0" borderId="17" xfId="0" applyFont="1" applyFill="1" applyBorder="1" applyAlignment="1">
      <alignment/>
    </xf>
    <xf numFmtId="0" fontId="91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92" fillId="0" borderId="17" xfId="0" applyFont="1" applyBorder="1" applyAlignment="1">
      <alignment/>
    </xf>
    <xf numFmtId="0" fontId="89" fillId="0" borderId="17" xfId="0" applyFont="1" applyFill="1" applyBorder="1" applyAlignment="1">
      <alignment/>
    </xf>
    <xf numFmtId="0" fontId="12" fillId="0" borderId="17" xfId="61" applyFont="1" applyFill="1" applyBorder="1" applyAlignment="1">
      <alignment/>
      <protection/>
    </xf>
    <xf numFmtId="0" fontId="11" fillId="0" borderId="17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/>
    </xf>
    <xf numFmtId="0" fontId="18" fillId="0" borderId="17" xfId="59" applyNumberFormat="1" applyFont="1" applyFill="1" applyBorder="1" applyAlignment="1">
      <alignment horizontal="left" vertical="top" wrapText="1"/>
      <protection/>
    </xf>
    <xf numFmtId="0" fontId="18" fillId="0" borderId="17" xfId="0" applyFont="1" applyFill="1" applyBorder="1" applyAlignment="1">
      <alignment wrapText="1"/>
    </xf>
    <xf numFmtId="0" fontId="11" fillId="0" borderId="17" xfId="0" applyFont="1" applyFill="1" applyBorder="1" applyAlignment="1" applyProtection="1">
      <alignment/>
      <protection/>
    </xf>
    <xf numFmtId="0" fontId="54" fillId="34" borderId="17" xfId="0" applyFont="1" applyFill="1" applyBorder="1" applyAlignment="1">
      <alignment vertical="top"/>
    </xf>
    <xf numFmtId="0" fontId="93" fillId="0" borderId="17" xfId="0" applyFont="1" applyBorder="1" applyAlignment="1">
      <alignment vertical="top"/>
    </xf>
    <xf numFmtId="0" fontId="93" fillId="0" borderId="17" xfId="0" applyFont="1" applyBorder="1" applyAlignment="1">
      <alignment/>
    </xf>
    <xf numFmtId="0" fontId="88" fillId="0" borderId="0" xfId="0" applyFont="1" applyFill="1" applyAlignment="1">
      <alignment/>
    </xf>
    <xf numFmtId="0" fontId="54" fillId="34" borderId="17" xfId="0" applyFont="1" applyFill="1" applyBorder="1" applyAlignment="1">
      <alignment horizontal="left" vertical="top"/>
    </xf>
    <xf numFmtId="0" fontId="18" fillId="0" borderId="17" xfId="60" applyFont="1" applyFill="1" applyBorder="1" applyAlignment="1">
      <alignment/>
      <protection/>
    </xf>
    <xf numFmtId="0" fontId="20" fillId="0" borderId="17" xfId="0" applyFont="1" applyFill="1" applyBorder="1" applyAlignment="1">
      <alignment/>
    </xf>
    <xf numFmtId="0" fontId="11" fillId="0" borderId="17" xfId="58" applyFont="1" applyFill="1" applyBorder="1" applyAlignment="1">
      <alignment/>
      <protection/>
    </xf>
    <xf numFmtId="0" fontId="12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3" fontId="0" fillId="0" borderId="0" xfId="42" applyFont="1" applyAlignment="1">
      <alignment/>
    </xf>
    <xf numFmtId="43" fontId="94" fillId="0" borderId="0" xfId="42" applyFont="1" applyFill="1" applyAlignment="1">
      <alignment/>
    </xf>
    <xf numFmtId="0" fontId="1" fillId="0" borderId="16" xfId="0" applyFont="1" applyFill="1" applyBorder="1" applyAlignment="1" quotePrefix="1">
      <alignment horizontal="right"/>
    </xf>
    <xf numFmtId="0" fontId="27" fillId="0" borderId="18" xfId="0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/>
    </xf>
    <xf numFmtId="43" fontId="48" fillId="0" borderId="21" xfId="42" applyFont="1" applyFill="1" applyBorder="1" applyAlignment="1">
      <alignment/>
    </xf>
    <xf numFmtId="1" fontId="49" fillId="0" borderId="11" xfId="42" applyNumberFormat="1" applyFont="1" applyFill="1" applyBorder="1" applyAlignment="1">
      <alignment horizontal="right"/>
    </xf>
    <xf numFmtId="1" fontId="49" fillId="0" borderId="12" xfId="42" applyNumberFormat="1" applyFont="1" applyFill="1" applyBorder="1" applyAlignment="1">
      <alignment horizontal="right"/>
    </xf>
    <xf numFmtId="1" fontId="5" fillId="0" borderId="11" xfId="42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3" fontId="11" fillId="0" borderId="0" xfId="0" applyNumberFormat="1" applyFont="1" applyFill="1" applyBorder="1" applyAlignment="1" quotePrefix="1">
      <alignment horizontal="right" vertical="top"/>
    </xf>
    <xf numFmtId="4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171" fontId="5" fillId="0" borderId="0" xfId="42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43" fontId="51" fillId="0" borderId="0" xfId="42" applyFont="1" applyFill="1" applyBorder="1" applyAlignment="1">
      <alignment horizontal="center"/>
    </xf>
    <xf numFmtId="1" fontId="51" fillId="0" borderId="0" xfId="42" applyNumberFormat="1" applyFont="1" applyFill="1" applyBorder="1" applyAlignment="1">
      <alignment horizontal="center"/>
    </xf>
    <xf numFmtId="1" fontId="51" fillId="0" borderId="0" xfId="42" applyNumberFormat="1" applyFont="1" applyFill="1" applyAlignment="1">
      <alignment horizontal="center"/>
    </xf>
    <xf numFmtId="43" fontId="51" fillId="0" borderId="11" xfId="42" applyFont="1" applyFill="1" applyBorder="1" applyAlignment="1">
      <alignment/>
    </xf>
    <xf numFmtId="43" fontId="51" fillId="0" borderId="21" xfId="42" applyFont="1" applyFill="1" applyBorder="1" applyAlignment="1">
      <alignment/>
    </xf>
    <xf numFmtId="43" fontId="51" fillId="0" borderId="10" xfId="42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3" fontId="0" fillId="0" borderId="0" xfId="42" applyFont="1" applyAlignment="1">
      <alignment horizontal="left"/>
    </xf>
    <xf numFmtId="43" fontId="7" fillId="0" borderId="0" xfId="42" applyFont="1" applyFill="1" applyAlignment="1">
      <alignment horizontal="left"/>
    </xf>
    <xf numFmtId="43" fontId="0" fillId="0" borderId="0" xfId="42" applyFont="1" applyFill="1" applyAlignment="1">
      <alignment horizontal="left"/>
    </xf>
    <xf numFmtId="43" fontId="85" fillId="0" borderId="0" xfId="42" applyFont="1" applyFill="1" applyAlignment="1">
      <alignment horizontal="left"/>
    </xf>
    <xf numFmtId="43" fontId="27" fillId="0" borderId="0" xfId="42" applyFont="1" applyFill="1" applyAlignment="1">
      <alignment/>
    </xf>
    <xf numFmtId="43" fontId="49" fillId="0" borderId="14" xfId="42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3" fontId="86" fillId="0" borderId="0" xfId="42" applyFont="1" applyFill="1" applyAlignment="1">
      <alignment/>
    </xf>
    <xf numFmtId="1" fontId="5" fillId="0" borderId="16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43" fontId="1" fillId="0" borderId="11" xfId="42" applyFont="1" applyFill="1" applyBorder="1" applyAlignment="1" quotePrefix="1">
      <alignment horizontal="right"/>
    </xf>
    <xf numFmtId="14" fontId="1" fillId="0" borderId="11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3" fontId="0" fillId="0" borderId="0" xfId="42" applyFont="1" applyAlignment="1">
      <alignment/>
    </xf>
    <xf numFmtId="43" fontId="11" fillId="0" borderId="17" xfId="42" applyFont="1" applyFill="1" applyBorder="1" applyAlignment="1" quotePrefix="1">
      <alignment horizontal="right" vertical="top"/>
    </xf>
    <xf numFmtId="43" fontId="0" fillId="0" borderId="0" xfId="42" applyFont="1" applyFill="1" applyAlignment="1">
      <alignment/>
    </xf>
    <xf numFmtId="43" fontId="0" fillId="35" borderId="0" xfId="42" applyFont="1" applyFill="1" applyAlignment="1">
      <alignment/>
    </xf>
    <xf numFmtId="0" fontId="86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11" fillId="0" borderId="0" xfId="42" applyFont="1" applyFill="1" applyBorder="1" applyAlignment="1" quotePrefix="1">
      <alignment horizontal="right" vertical="top"/>
    </xf>
    <xf numFmtId="43" fontId="0" fillId="0" borderId="0" xfId="42" applyFont="1" applyAlignment="1">
      <alignment/>
    </xf>
    <xf numFmtId="1" fontId="49" fillId="0" borderId="0" xfId="42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27" fillId="0" borderId="0" xfId="0" applyFont="1" applyFill="1" applyBorder="1" applyAlignment="1">
      <alignment horizontal="left" wrapText="1"/>
    </xf>
    <xf numFmtId="1" fontId="49" fillId="0" borderId="11" xfId="0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 quotePrefix="1">
      <alignment horizontal="right"/>
    </xf>
    <xf numFmtId="0" fontId="48" fillId="0" borderId="11" xfId="0" applyFont="1" applyFill="1" applyBorder="1" applyAlignment="1">
      <alignment/>
    </xf>
    <xf numFmtId="43" fontId="5" fillId="34" borderId="11" xfId="42" applyFont="1" applyFill="1" applyBorder="1" applyAlignment="1">
      <alignment/>
    </xf>
    <xf numFmtId="171" fontId="5" fillId="34" borderId="11" xfId="42" applyNumberFormat="1" applyFont="1" applyFill="1" applyBorder="1" applyAlignment="1">
      <alignment/>
    </xf>
    <xf numFmtId="43" fontId="51" fillId="34" borderId="12" xfId="42" applyFont="1" applyFill="1" applyBorder="1" applyAlignment="1">
      <alignment/>
    </xf>
    <xf numFmtId="1" fontId="49" fillId="34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right" vertical="top"/>
    </xf>
    <xf numFmtId="43" fontId="51" fillId="34" borderId="11" xfId="42" applyFont="1" applyFill="1" applyBorder="1" applyAlignment="1">
      <alignment/>
    </xf>
    <xf numFmtId="43" fontId="5" fillId="34" borderId="0" xfId="42" applyFont="1" applyFill="1" applyAlignment="1">
      <alignment/>
    </xf>
    <xf numFmtId="171" fontId="0" fillId="0" borderId="0" xfId="0" applyNumberFormat="1" applyFill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Font="1" applyBorder="1" applyAlignment="1">
      <alignment/>
    </xf>
    <xf numFmtId="43" fontId="49" fillId="0" borderId="0" xfId="0" applyNumberFormat="1" applyFont="1" applyFill="1" applyBorder="1" applyAlignment="1">
      <alignment/>
    </xf>
    <xf numFmtId="43" fontId="51" fillId="34" borderId="21" xfId="42" applyFont="1" applyFill="1" applyBorder="1" applyAlignment="1">
      <alignment/>
    </xf>
    <xf numFmtId="43" fontId="49" fillId="0" borderId="0" xfId="42" applyFont="1" applyFill="1" applyBorder="1" applyAlignment="1">
      <alignment/>
    </xf>
    <xf numFmtId="43" fontId="0" fillId="0" borderId="0" xfId="42" applyFont="1" applyAlignment="1">
      <alignment/>
    </xf>
    <xf numFmtId="1" fontId="49" fillId="0" borderId="21" xfId="0" applyNumberFormat="1" applyFont="1" applyFill="1" applyBorder="1" applyAlignment="1">
      <alignment/>
    </xf>
    <xf numFmtId="1" fontId="49" fillId="34" borderId="11" xfId="0" applyNumberFormat="1" applyFont="1" applyFill="1" applyBorder="1" applyAlignment="1">
      <alignment/>
    </xf>
    <xf numFmtId="183" fontId="49" fillId="0" borderId="11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0" fontId="5" fillId="34" borderId="23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43" fontId="5" fillId="34" borderId="16" xfId="42" applyFont="1" applyFill="1" applyBorder="1" applyAlignment="1">
      <alignment/>
    </xf>
    <xf numFmtId="171" fontId="5" fillId="34" borderId="16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85" fillId="0" borderId="0" xfId="0" applyFont="1" applyAlignment="1">
      <alignment/>
    </xf>
    <xf numFmtId="43" fontId="85" fillId="0" borderId="0" xfId="42" applyFont="1" applyFill="1" applyAlignment="1">
      <alignment/>
    </xf>
    <xf numFmtId="43" fontId="5" fillId="0" borderId="23" xfId="42" applyFont="1" applyFill="1" applyBorder="1" applyAlignment="1">
      <alignment/>
    </xf>
    <xf numFmtId="1" fontId="49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95" fillId="0" borderId="0" xfId="0" applyFont="1" applyAlignment="1">
      <alignment/>
    </xf>
    <xf numFmtId="0" fontId="95" fillId="0" borderId="24" xfId="0" applyFont="1" applyBorder="1" applyAlignment="1">
      <alignment vertical="top" wrapText="1"/>
    </xf>
    <xf numFmtId="0" fontId="95" fillId="0" borderId="25" xfId="0" applyFont="1" applyBorder="1" applyAlignment="1">
      <alignment vertical="top" wrapText="1"/>
    </xf>
    <xf numFmtId="0" fontId="96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97" fillId="0" borderId="28" xfId="0" applyFont="1" applyBorder="1" applyAlignment="1">
      <alignment horizontal="center" vertical="top" wrapText="1"/>
    </xf>
    <xf numFmtId="3" fontId="97" fillId="0" borderId="25" xfId="0" applyNumberFormat="1" applyFont="1" applyBorder="1" applyAlignment="1">
      <alignment horizontal="center" vertical="top" wrapText="1"/>
    </xf>
    <xf numFmtId="0" fontId="98" fillId="0" borderId="28" xfId="0" applyFont="1" applyBorder="1" applyAlignment="1">
      <alignment horizontal="center" vertical="top" wrapText="1"/>
    </xf>
    <xf numFmtId="0" fontId="98" fillId="0" borderId="25" xfId="0" applyFont="1" applyBorder="1" applyAlignment="1">
      <alignment horizontal="center" vertical="top" wrapText="1"/>
    </xf>
    <xf numFmtId="0" fontId="99" fillId="0" borderId="28" xfId="0" applyFont="1" applyBorder="1" applyAlignment="1">
      <alignment horizontal="center" vertical="top" wrapText="1"/>
    </xf>
    <xf numFmtId="0" fontId="99" fillId="0" borderId="25" xfId="0" applyFont="1" applyBorder="1" applyAlignment="1">
      <alignment horizontal="center" vertical="top" wrapText="1"/>
    </xf>
    <xf numFmtId="0" fontId="96" fillId="0" borderId="27" xfId="0" applyFont="1" applyBorder="1" applyAlignment="1">
      <alignment vertical="top" wrapText="1"/>
    </xf>
    <xf numFmtId="3" fontId="100" fillId="0" borderId="25" xfId="0" applyNumberFormat="1" applyFont="1" applyBorder="1" applyAlignment="1">
      <alignment horizontal="center" wrapText="1"/>
    </xf>
    <xf numFmtId="3" fontId="101" fillId="0" borderId="25" xfId="0" applyNumberFormat="1" applyFont="1" applyBorder="1" applyAlignment="1">
      <alignment horizontal="center" wrapText="1"/>
    </xf>
    <xf numFmtId="3" fontId="102" fillId="0" borderId="28" xfId="0" applyNumberFormat="1" applyFont="1" applyBorder="1" applyAlignment="1">
      <alignment wrapText="1"/>
    </xf>
    <xf numFmtId="0" fontId="103" fillId="0" borderId="25" xfId="0" applyFont="1" applyBorder="1" applyAlignment="1">
      <alignment wrapText="1"/>
    </xf>
    <xf numFmtId="43" fontId="99" fillId="0" borderId="25" xfId="42" applyFont="1" applyBorder="1" applyAlignment="1">
      <alignment horizontal="center" wrapText="1"/>
    </xf>
    <xf numFmtId="43" fontId="99" fillId="0" borderId="28" xfId="42" applyFont="1" applyBorder="1" applyAlignment="1">
      <alignment horizontal="center" vertical="top" wrapText="1"/>
    </xf>
    <xf numFmtId="43" fontId="99" fillId="0" borderId="25" xfId="42" applyFont="1" applyBorder="1" applyAlignment="1">
      <alignment horizontal="center" vertical="top" wrapText="1"/>
    </xf>
    <xf numFmtId="0" fontId="104" fillId="0" borderId="26" xfId="0" applyFont="1" applyBorder="1" applyAlignment="1">
      <alignment vertical="top" wrapText="1"/>
    </xf>
    <xf numFmtId="0" fontId="104" fillId="0" borderId="28" xfId="0" applyFont="1" applyBorder="1" applyAlignment="1">
      <alignment horizontal="right" wrapText="1"/>
    </xf>
    <xf numFmtId="3" fontId="105" fillId="0" borderId="28" xfId="0" applyNumberFormat="1" applyFont="1" applyBorder="1" applyAlignment="1">
      <alignment horizontal="right" wrapText="1"/>
    </xf>
    <xf numFmtId="0" fontId="103" fillId="0" borderId="25" xfId="0" applyFont="1" applyBorder="1" applyAlignment="1">
      <alignment horizontal="right" wrapText="1"/>
    </xf>
    <xf numFmtId="0" fontId="104" fillId="0" borderId="28" xfId="0" applyFont="1" applyBorder="1" applyAlignment="1">
      <alignment horizontal="center" wrapText="1"/>
    </xf>
    <xf numFmtId="3" fontId="104" fillId="0" borderId="28" xfId="0" applyNumberFormat="1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103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104" fillId="0" borderId="27" xfId="0" applyFont="1" applyBorder="1" applyAlignment="1">
      <alignment vertical="top" wrapText="1"/>
    </xf>
    <xf numFmtId="0" fontId="106" fillId="0" borderId="28" xfId="0" applyFont="1" applyBorder="1" applyAlignment="1">
      <alignment horizontal="center" vertical="top" wrapText="1"/>
    </xf>
    <xf numFmtId="0" fontId="106" fillId="0" borderId="25" xfId="0" applyFont="1" applyBorder="1" applyAlignment="1">
      <alignment horizontal="center" vertical="top" wrapText="1"/>
    </xf>
    <xf numFmtId="3" fontId="104" fillId="0" borderId="25" xfId="0" applyNumberFormat="1" applyFont="1" applyBorder="1" applyAlignment="1">
      <alignment horizontal="right" wrapText="1"/>
    </xf>
    <xf numFmtId="0" fontId="103" fillId="0" borderId="25" xfId="0" applyFont="1" applyBorder="1" applyAlignment="1">
      <alignment horizontal="center" vertical="top" wrapText="1"/>
    </xf>
    <xf numFmtId="0" fontId="103" fillId="0" borderId="28" xfId="0" applyFont="1" applyBorder="1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3" fontId="5" fillId="0" borderId="20" xfId="42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43" fontId="0" fillId="35" borderId="0" xfId="42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left" wrapText="1"/>
    </xf>
    <xf numFmtId="0" fontId="67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43" fontId="5" fillId="0" borderId="18" xfId="42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0" fontId="103" fillId="0" borderId="32" xfId="0" applyFont="1" applyBorder="1" applyAlignment="1">
      <alignment vertical="top" wrapText="1"/>
    </xf>
    <xf numFmtId="0" fontId="103" fillId="0" borderId="26" xfId="0" applyFont="1" applyBorder="1" applyAlignment="1">
      <alignment vertical="top" wrapText="1"/>
    </xf>
    <xf numFmtId="0" fontId="103" fillId="0" borderId="27" xfId="0" applyFont="1" applyBorder="1" applyAlignment="1">
      <alignment vertical="top" wrapText="1"/>
    </xf>
    <xf numFmtId="3" fontId="107" fillId="0" borderId="32" xfId="0" applyNumberFormat="1" applyFont="1" applyBorder="1" applyAlignment="1">
      <alignment horizontal="center" wrapText="1"/>
    </xf>
    <xf numFmtId="3" fontId="107" fillId="0" borderId="26" xfId="0" applyNumberFormat="1" applyFont="1" applyBorder="1" applyAlignment="1">
      <alignment horizontal="center" wrapText="1"/>
    </xf>
    <xf numFmtId="3" fontId="107" fillId="0" borderId="27" xfId="0" applyNumberFormat="1" applyFont="1" applyBorder="1" applyAlignment="1">
      <alignment horizontal="center" wrapText="1"/>
    </xf>
    <xf numFmtId="0" fontId="104" fillId="0" borderId="32" xfId="0" applyFont="1" applyBorder="1" applyAlignment="1">
      <alignment vertical="top" wrapText="1"/>
    </xf>
    <xf numFmtId="0" fontId="104" fillId="0" borderId="27" xfId="0" applyFont="1" applyBorder="1" applyAlignment="1">
      <alignment vertical="top" wrapText="1"/>
    </xf>
    <xf numFmtId="3" fontId="105" fillId="0" borderId="32" xfId="0" applyNumberFormat="1" applyFont="1" applyBorder="1" applyAlignment="1">
      <alignment horizontal="center" wrapText="1"/>
    </xf>
    <xf numFmtId="3" fontId="105" fillId="0" borderId="27" xfId="0" applyNumberFormat="1" applyFont="1" applyBorder="1" applyAlignment="1">
      <alignment horizontal="center" wrapText="1"/>
    </xf>
    <xf numFmtId="3" fontId="104" fillId="0" borderId="32" xfId="0" applyNumberFormat="1" applyFont="1" applyBorder="1" applyAlignment="1">
      <alignment horizontal="right" wrapText="1"/>
    </xf>
    <xf numFmtId="3" fontId="104" fillId="0" borderId="27" xfId="0" applyNumberFormat="1" applyFont="1" applyBorder="1" applyAlignment="1">
      <alignment horizontal="right" wrapText="1"/>
    </xf>
    <xf numFmtId="3" fontId="104" fillId="0" borderId="32" xfId="0" applyNumberFormat="1" applyFont="1" applyBorder="1" applyAlignment="1">
      <alignment horizontal="center" wrapText="1"/>
    </xf>
    <xf numFmtId="3" fontId="104" fillId="0" borderId="27" xfId="0" applyNumberFormat="1" applyFont="1" applyBorder="1" applyAlignment="1">
      <alignment horizontal="center" wrapText="1"/>
    </xf>
    <xf numFmtId="43" fontId="98" fillId="0" borderId="32" xfId="42" applyFont="1" applyBorder="1" applyAlignment="1">
      <alignment horizontal="center" wrapText="1"/>
    </xf>
    <xf numFmtId="43" fontId="98" fillId="0" borderId="27" xfId="42" applyFont="1" applyBorder="1" applyAlignment="1">
      <alignment horizontal="center" wrapText="1"/>
    </xf>
    <xf numFmtId="0" fontId="95" fillId="0" borderId="32" xfId="0" applyFont="1" applyBorder="1" applyAlignment="1">
      <alignment vertical="top" wrapText="1"/>
    </xf>
    <xf numFmtId="0" fontId="95" fillId="0" borderId="27" xfId="0" applyFont="1" applyBorder="1" applyAlignment="1">
      <alignment vertical="top" wrapText="1"/>
    </xf>
    <xf numFmtId="0" fontId="98" fillId="0" borderId="32" xfId="0" applyFont="1" applyBorder="1" applyAlignment="1">
      <alignment horizontal="center" wrapText="1"/>
    </xf>
    <xf numFmtId="0" fontId="98" fillId="0" borderId="27" xfId="0" applyFont="1" applyBorder="1" applyAlignment="1">
      <alignment horizontal="center" wrapText="1"/>
    </xf>
    <xf numFmtId="3" fontId="101" fillId="0" borderId="32" xfId="0" applyNumberFormat="1" applyFont="1" applyBorder="1" applyAlignment="1">
      <alignment horizontal="center" wrapText="1"/>
    </xf>
    <xf numFmtId="3" fontId="101" fillId="0" borderId="27" xfId="0" applyNumberFormat="1" applyFont="1" applyBorder="1" applyAlignment="1">
      <alignment horizontal="center" wrapText="1"/>
    </xf>
    <xf numFmtId="3" fontId="97" fillId="0" borderId="32" xfId="0" applyNumberFormat="1" applyFont="1" applyBorder="1" applyAlignment="1">
      <alignment horizontal="center" wrapText="1"/>
    </xf>
    <xf numFmtId="3" fontId="97" fillId="0" borderId="27" xfId="0" applyNumberFormat="1" applyFont="1" applyBorder="1" applyAlignment="1">
      <alignment horizontal="center" wrapText="1"/>
    </xf>
    <xf numFmtId="0" fontId="108" fillId="0" borderId="32" xfId="0" applyFont="1" applyBorder="1" applyAlignment="1">
      <alignment horizontal="center" vertical="top" wrapText="1"/>
    </xf>
    <xf numFmtId="0" fontId="108" fillId="0" borderId="27" xfId="0" applyFont="1" applyBorder="1" applyAlignment="1">
      <alignment horizontal="center" vertical="top" wrapText="1"/>
    </xf>
    <xf numFmtId="3" fontId="102" fillId="0" borderId="32" xfId="0" applyNumberFormat="1" applyFont="1" applyBorder="1" applyAlignment="1">
      <alignment wrapText="1"/>
    </xf>
    <xf numFmtId="3" fontId="102" fillId="0" borderId="27" xfId="0" applyNumberFormat="1" applyFont="1" applyBorder="1" applyAlignment="1">
      <alignment wrapText="1"/>
    </xf>
    <xf numFmtId="3" fontId="109" fillId="0" borderId="32" xfId="0" applyNumberFormat="1" applyFont="1" applyBorder="1" applyAlignment="1">
      <alignment horizontal="center" wrapText="1"/>
    </xf>
    <xf numFmtId="3" fontId="109" fillId="0" borderId="27" xfId="0" applyNumberFormat="1" applyFont="1" applyBorder="1" applyAlignment="1">
      <alignment horizontal="center" wrapText="1"/>
    </xf>
    <xf numFmtId="3" fontId="100" fillId="0" borderId="32" xfId="0" applyNumberFormat="1" applyFont="1" applyBorder="1" applyAlignment="1">
      <alignment horizontal="center" wrapText="1"/>
    </xf>
    <xf numFmtId="3" fontId="100" fillId="0" borderId="26" xfId="0" applyNumberFormat="1" applyFont="1" applyBorder="1" applyAlignment="1">
      <alignment horizontal="center" wrapText="1"/>
    </xf>
    <xf numFmtId="3" fontId="100" fillId="0" borderId="27" xfId="0" applyNumberFormat="1" applyFont="1" applyBorder="1" applyAlignment="1">
      <alignment horizontal="center" wrapText="1"/>
    </xf>
    <xf numFmtId="3" fontId="101" fillId="0" borderId="26" xfId="0" applyNumberFormat="1" applyFont="1" applyBorder="1" applyAlignment="1">
      <alignment horizontal="center" wrapText="1"/>
    </xf>
    <xf numFmtId="0" fontId="101" fillId="0" borderId="26" xfId="0" applyFont="1" applyBorder="1" applyAlignment="1">
      <alignment horizontal="center" wrapText="1"/>
    </xf>
    <xf numFmtId="0" fontId="101" fillId="0" borderId="27" xfId="0" applyFont="1" applyBorder="1" applyAlignment="1">
      <alignment horizontal="center" wrapText="1"/>
    </xf>
    <xf numFmtId="0" fontId="101" fillId="0" borderId="32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defffd12" xfId="60"/>
    <cellStyle name="Normal_uwezo council simplifie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895350</xdr:rowOff>
    </xdr:from>
    <xdr:to>
      <xdr:col>5</xdr:col>
      <xdr:colOff>0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895350</xdr:rowOff>
    </xdr:from>
    <xdr:to>
      <xdr:col>3</xdr:col>
      <xdr:colOff>1524000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895350</xdr:rowOff>
    </xdr:from>
    <xdr:to>
      <xdr:col>3</xdr:col>
      <xdr:colOff>1524000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895350</xdr:rowOff>
    </xdr:from>
    <xdr:to>
      <xdr:col>3</xdr:col>
      <xdr:colOff>1524000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1524000</xdr:colOff>
      <xdr:row>0</xdr:row>
      <xdr:rowOff>895350</xdr:rowOff>
    </xdr:from>
    <xdr:to>
      <xdr:col>3</xdr:col>
      <xdr:colOff>1524000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0</xdr:row>
      <xdr:rowOff>895350</xdr:rowOff>
    </xdr:from>
    <xdr:to>
      <xdr:col>3</xdr:col>
      <xdr:colOff>1524000</xdr:colOff>
      <xdr:row>0</xdr:row>
      <xdr:rowOff>7086600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895350</xdr:rowOff>
    </xdr:from>
    <xdr:to>
      <xdr:col>3</xdr:col>
      <xdr:colOff>1457325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895350</xdr:rowOff>
    </xdr:from>
    <xdr:to>
      <xdr:col>3</xdr:col>
      <xdr:colOff>1457325</xdr:colOff>
      <xdr:row>0</xdr:row>
      <xdr:rowOff>7086600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9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zoomScale="85" zoomScaleNormal="85" zoomScalePageLayoutView="0" workbookViewId="0" topLeftCell="A1">
      <selection activeCell="A8" sqref="A8"/>
    </sheetView>
  </sheetViews>
  <sheetFormatPr defaultColWidth="9.140625" defaultRowHeight="15"/>
  <cols>
    <col min="1" max="1" width="11.140625" style="0" customWidth="1"/>
    <col min="3" max="3" width="31.421875" style="0" customWidth="1"/>
    <col min="4" max="4" width="21.140625" style="0" customWidth="1"/>
    <col min="5" max="5" width="19.7109375" style="1" customWidth="1"/>
    <col min="6" max="6" width="19.8515625" style="0" customWidth="1"/>
    <col min="7" max="7" width="19.140625" style="0" customWidth="1"/>
    <col min="8" max="8" width="17.28125" style="0" customWidth="1"/>
    <col min="9" max="9" width="12.7109375" style="0" customWidth="1"/>
    <col min="11" max="11" width="19.421875" style="190" bestFit="1" customWidth="1"/>
    <col min="12" max="12" width="14.28125" style="0" bestFit="1" customWidth="1"/>
    <col min="13" max="13" width="13.28125" style="0" bestFit="1" customWidth="1"/>
    <col min="16" max="16" width="13.28125" style="0" bestFit="1" customWidth="1"/>
  </cols>
  <sheetData>
    <row r="1" spans="1:9" ht="18">
      <c r="A1" s="320" t="s">
        <v>45</v>
      </c>
      <c r="B1" s="320"/>
      <c r="C1" s="320"/>
      <c r="D1" s="320"/>
      <c r="E1" s="320"/>
      <c r="F1" s="320"/>
      <c r="G1" s="320"/>
      <c r="H1" s="320"/>
      <c r="I1" s="320"/>
    </row>
    <row r="2" spans="1:9" ht="18">
      <c r="A2" s="320" t="s">
        <v>1067</v>
      </c>
      <c r="B2" s="320"/>
      <c r="C2" s="320"/>
      <c r="D2" s="320"/>
      <c r="E2" s="320"/>
      <c r="F2" s="320"/>
      <c r="G2" s="320"/>
      <c r="H2" s="320"/>
      <c r="I2" s="320"/>
    </row>
    <row r="3" spans="1:9" ht="15.75" customHeight="1">
      <c r="A3" s="321"/>
      <c r="B3" s="322" t="s">
        <v>0</v>
      </c>
      <c r="C3" s="322"/>
      <c r="D3" s="323" t="s">
        <v>1068</v>
      </c>
      <c r="E3" s="324" t="s">
        <v>1071</v>
      </c>
      <c r="F3" s="326" t="s">
        <v>1069</v>
      </c>
      <c r="G3" s="324" t="s">
        <v>1070</v>
      </c>
      <c r="H3" s="322" t="s">
        <v>2</v>
      </c>
      <c r="I3" s="322" t="s">
        <v>1</v>
      </c>
    </row>
    <row r="4" spans="1:9" ht="15.75" customHeight="1">
      <c r="A4" s="321"/>
      <c r="B4" s="322"/>
      <c r="C4" s="322"/>
      <c r="D4" s="323"/>
      <c r="E4" s="325"/>
      <c r="F4" s="326"/>
      <c r="G4" s="325"/>
      <c r="H4" s="322"/>
      <c r="I4" s="322"/>
    </row>
    <row r="5" spans="1:9" ht="19.5" customHeight="1">
      <c r="A5" s="2"/>
      <c r="B5" s="327" t="s">
        <v>4</v>
      </c>
      <c r="C5" s="327"/>
      <c r="D5" s="17"/>
      <c r="E5" s="17"/>
      <c r="F5" s="17"/>
      <c r="G5" s="17" t="s">
        <v>53</v>
      </c>
      <c r="H5" s="17"/>
      <c r="I5" s="9"/>
    </row>
    <row r="6" spans="1:9" ht="15">
      <c r="A6" s="46">
        <v>110851</v>
      </c>
      <c r="B6" s="314" t="s">
        <v>5</v>
      </c>
      <c r="C6" s="314"/>
      <c r="D6" s="34">
        <v>1460000000</v>
      </c>
      <c r="E6" s="34">
        <v>0</v>
      </c>
      <c r="F6" s="48">
        <f>2238069.64+6153801.94+4467965.87+44602831.08+1996051.5+14142363.65</f>
        <v>73601083.68</v>
      </c>
      <c r="G6" s="34">
        <f aca="true" t="shared" si="0" ref="G6:G13">E6+F6</f>
        <v>73601083.68</v>
      </c>
      <c r="H6" s="34">
        <f aca="true" t="shared" si="1" ref="H6:H15">D6-G6</f>
        <v>1386398916.32</v>
      </c>
      <c r="I6" s="41">
        <f aca="true" t="shared" si="2" ref="I6:I15">G6/D6*100</f>
        <v>5.0411701150684936</v>
      </c>
    </row>
    <row r="7" spans="1:9" ht="15">
      <c r="A7" s="46">
        <v>140283</v>
      </c>
      <c r="B7" s="314" t="s">
        <v>7</v>
      </c>
      <c r="C7" s="314"/>
      <c r="D7" s="34">
        <v>20000000</v>
      </c>
      <c r="E7" s="34">
        <v>0</v>
      </c>
      <c r="F7" s="48">
        <f>100000*4</f>
        <v>400000</v>
      </c>
      <c r="G7" s="34">
        <f t="shared" si="0"/>
        <v>400000</v>
      </c>
      <c r="H7" s="34">
        <f t="shared" si="1"/>
        <v>19600000</v>
      </c>
      <c r="I7" s="41">
        <f t="shared" si="2"/>
        <v>2</v>
      </c>
    </row>
    <row r="8" spans="1:11" ht="15.75">
      <c r="A8" s="46">
        <v>140289</v>
      </c>
      <c r="B8" s="314" t="s">
        <v>58</v>
      </c>
      <c r="C8" s="314"/>
      <c r="D8" s="34">
        <v>3000000</v>
      </c>
      <c r="E8" s="34">
        <v>0</v>
      </c>
      <c r="F8" s="66">
        <v>0</v>
      </c>
      <c r="G8" s="34">
        <f t="shared" si="0"/>
        <v>0</v>
      </c>
      <c r="H8" s="34">
        <f t="shared" si="1"/>
        <v>3000000</v>
      </c>
      <c r="I8" s="41">
        <f t="shared" si="2"/>
        <v>0</v>
      </c>
      <c r="K8" s="191"/>
    </row>
    <row r="9" spans="1:9" ht="15">
      <c r="A9" s="46">
        <v>140291</v>
      </c>
      <c r="B9" s="314" t="s">
        <v>8</v>
      </c>
      <c r="C9" s="314"/>
      <c r="D9" s="34">
        <v>20000000</v>
      </c>
      <c r="E9" s="34">
        <v>0</v>
      </c>
      <c r="F9" s="66">
        <f>600000+1800000+100000+2125000</f>
        <v>4625000</v>
      </c>
      <c r="G9" s="34">
        <f t="shared" si="0"/>
        <v>4625000</v>
      </c>
      <c r="H9" s="34">
        <f t="shared" si="1"/>
        <v>15375000</v>
      </c>
      <c r="I9" s="41">
        <f t="shared" si="2"/>
        <v>23.125</v>
      </c>
    </row>
    <row r="10" spans="1:9" ht="15">
      <c r="A10" s="46">
        <v>140292</v>
      </c>
      <c r="B10" s="314" t="s">
        <v>9</v>
      </c>
      <c r="C10" s="314"/>
      <c r="D10" s="34">
        <v>2400000</v>
      </c>
      <c r="E10" s="34">
        <v>0</v>
      </c>
      <c r="F10" s="66">
        <f>525000</f>
        <v>525000</v>
      </c>
      <c r="G10" s="34">
        <f t="shared" si="0"/>
        <v>525000</v>
      </c>
      <c r="H10" s="34">
        <f t="shared" si="1"/>
        <v>1875000</v>
      </c>
      <c r="I10" s="41">
        <f t="shared" si="2"/>
        <v>21.875</v>
      </c>
    </row>
    <row r="11" spans="1:9" ht="15">
      <c r="A11" s="46">
        <v>140387</v>
      </c>
      <c r="B11" s="314" t="s">
        <v>14</v>
      </c>
      <c r="C11" s="314"/>
      <c r="D11" s="34">
        <v>2000000</v>
      </c>
      <c r="E11" s="34">
        <v>0</v>
      </c>
      <c r="F11" s="22">
        <v>0</v>
      </c>
      <c r="G11" s="34">
        <f t="shared" si="0"/>
        <v>0</v>
      </c>
      <c r="H11" s="34">
        <f t="shared" si="1"/>
        <v>2000000</v>
      </c>
      <c r="I11" s="41">
        <f t="shared" si="2"/>
        <v>0</v>
      </c>
    </row>
    <row r="12" spans="1:9" ht="15">
      <c r="A12" s="46">
        <v>140353</v>
      </c>
      <c r="B12" s="314" t="s">
        <v>57</v>
      </c>
      <c r="C12" s="314"/>
      <c r="D12" s="34">
        <v>256400000</v>
      </c>
      <c r="E12" s="34">
        <v>0</v>
      </c>
      <c r="F12" s="34">
        <v>0</v>
      </c>
      <c r="G12" s="34">
        <f t="shared" si="0"/>
        <v>0</v>
      </c>
      <c r="H12" s="34">
        <f t="shared" si="1"/>
        <v>256400000</v>
      </c>
      <c r="I12" s="41">
        <f t="shared" si="2"/>
        <v>0</v>
      </c>
    </row>
    <row r="13" spans="1:9" ht="15">
      <c r="A13" s="46">
        <v>140392</v>
      </c>
      <c r="B13" s="311" t="s">
        <v>67</v>
      </c>
      <c r="C13" s="312"/>
      <c r="D13" s="71">
        <v>1200000</v>
      </c>
      <c r="E13" s="34">
        <v>0</v>
      </c>
      <c r="F13" s="34">
        <f>600000</f>
        <v>600000</v>
      </c>
      <c r="G13" s="34">
        <f t="shared" si="0"/>
        <v>600000</v>
      </c>
      <c r="H13" s="34">
        <f t="shared" si="1"/>
        <v>600000</v>
      </c>
      <c r="I13" s="41">
        <f t="shared" si="2"/>
        <v>50</v>
      </c>
    </row>
    <row r="14" spans="1:9" ht="15">
      <c r="A14" s="46">
        <v>140505</v>
      </c>
      <c r="B14" s="314" t="s">
        <v>6</v>
      </c>
      <c r="C14" s="314"/>
      <c r="D14" s="34">
        <v>56000000</v>
      </c>
      <c r="E14" s="34">
        <v>0</v>
      </c>
      <c r="F14" s="48">
        <f>27000+22000+9000+120000+950000+10500+4500+13500+4500+2000+9000+10500+9000+27000</f>
        <v>1218500</v>
      </c>
      <c r="G14" s="34">
        <f>E14+F14</f>
        <v>1218500</v>
      </c>
      <c r="H14" s="34">
        <f>D14-G14</f>
        <v>54781500</v>
      </c>
      <c r="I14" s="41">
        <f>G14/D14*100</f>
        <v>2.1758928571428573</v>
      </c>
    </row>
    <row r="15" spans="1:9" ht="15.75" thickBot="1">
      <c r="A15" s="18"/>
      <c r="B15" s="313" t="s">
        <v>3</v>
      </c>
      <c r="C15" s="313"/>
      <c r="D15" s="49">
        <f>SUM(D6:D14)</f>
        <v>1821000000</v>
      </c>
      <c r="E15" s="49">
        <f>SUM(E6:E14)</f>
        <v>0</v>
      </c>
      <c r="F15" s="49">
        <f>SUM(F6:F14)</f>
        <v>80969583.68</v>
      </c>
      <c r="G15" s="44">
        <f>E15+F15</f>
        <v>80969583.68</v>
      </c>
      <c r="H15" s="44">
        <f t="shared" si="1"/>
        <v>1740030416.32</v>
      </c>
      <c r="I15" s="45">
        <f t="shared" si="2"/>
        <v>4.446435127951675</v>
      </c>
    </row>
    <row r="16" spans="1:9" ht="15.75" thickTop="1">
      <c r="A16" s="9"/>
      <c r="B16" s="10"/>
      <c r="C16" s="10"/>
      <c r="D16" s="17"/>
      <c r="E16" s="17"/>
      <c r="F16" s="19"/>
      <c r="G16" s="17"/>
      <c r="H16" s="17"/>
      <c r="I16" s="13"/>
    </row>
    <row r="17" spans="1:9" ht="15">
      <c r="A17" s="9"/>
      <c r="B17" s="327" t="s">
        <v>10</v>
      </c>
      <c r="C17" s="327"/>
      <c r="D17" s="17"/>
      <c r="E17" s="17"/>
      <c r="F17" s="19"/>
      <c r="G17" s="17"/>
      <c r="H17" s="17"/>
      <c r="I17" s="13"/>
    </row>
    <row r="18" spans="1:9" ht="15">
      <c r="A18" s="46">
        <v>140370</v>
      </c>
      <c r="B18" s="314" t="s">
        <v>12</v>
      </c>
      <c r="C18" s="314"/>
      <c r="D18" s="34">
        <v>9000000</v>
      </c>
      <c r="E18" s="34">
        <v>0</v>
      </c>
      <c r="F18" s="66">
        <v>90000</v>
      </c>
      <c r="G18" s="34">
        <f>E18+F18</f>
        <v>90000</v>
      </c>
      <c r="H18" s="34">
        <f>D18-G18</f>
        <v>8910000</v>
      </c>
      <c r="I18" s="41">
        <f>G18/D18*100</f>
        <v>1</v>
      </c>
    </row>
    <row r="19" spans="1:9" ht="15">
      <c r="A19" s="46">
        <v>140371</v>
      </c>
      <c r="B19" s="314" t="s">
        <v>13</v>
      </c>
      <c r="C19" s="314"/>
      <c r="D19" s="34">
        <v>20000000</v>
      </c>
      <c r="E19" s="34">
        <v>0</v>
      </c>
      <c r="F19" s="22">
        <v>1230000</v>
      </c>
      <c r="G19" s="34">
        <f>E19+F19</f>
        <v>1230000</v>
      </c>
      <c r="H19" s="34">
        <f>D19-G19</f>
        <v>18770000</v>
      </c>
      <c r="I19" s="41">
        <f>G19/D19*100</f>
        <v>6.15</v>
      </c>
    </row>
    <row r="20" spans="1:9" ht="15">
      <c r="A20" s="46">
        <v>110852</v>
      </c>
      <c r="B20" s="314" t="s">
        <v>11</v>
      </c>
      <c r="C20" s="314"/>
      <c r="D20" s="34">
        <v>18000000</v>
      </c>
      <c r="E20" s="34">
        <v>0</v>
      </c>
      <c r="F20" s="34">
        <v>0</v>
      </c>
      <c r="G20" s="34">
        <f>E20+F20</f>
        <v>0</v>
      </c>
      <c r="H20" s="34">
        <f>D20-G20</f>
        <v>18000000</v>
      </c>
      <c r="I20" s="41">
        <f>G20/D20*100</f>
        <v>0</v>
      </c>
    </row>
    <row r="21" spans="1:9" ht="15.75" thickBot="1">
      <c r="A21" s="9"/>
      <c r="B21" s="313" t="s">
        <v>3</v>
      </c>
      <c r="C21" s="313"/>
      <c r="D21" s="49">
        <f>SUM(D18:D20)</f>
        <v>47000000</v>
      </c>
      <c r="E21" s="49">
        <f>SUM(E18:E20)</f>
        <v>0</v>
      </c>
      <c r="F21" s="44">
        <f>SUM(F18:F20)</f>
        <v>1320000</v>
      </c>
      <c r="G21" s="44">
        <f>E21+F21</f>
        <v>1320000</v>
      </c>
      <c r="H21" s="44">
        <f>D21-G21</f>
        <v>45680000</v>
      </c>
      <c r="I21" s="45">
        <f>G21/D21*100</f>
        <v>2.8085106382978724</v>
      </c>
    </row>
    <row r="22" spans="1:9" ht="15.75" thickTop="1">
      <c r="A22" s="9"/>
      <c r="B22" s="70"/>
      <c r="C22" s="70"/>
      <c r="D22" s="20"/>
      <c r="E22" s="20"/>
      <c r="F22" s="26"/>
      <c r="G22" s="24"/>
      <c r="H22" s="24"/>
      <c r="I22" s="28"/>
    </row>
    <row r="23" spans="1:9" ht="15">
      <c r="A23" s="9"/>
      <c r="B23" s="327" t="s">
        <v>15</v>
      </c>
      <c r="C23" s="327"/>
      <c r="D23" s="17"/>
      <c r="E23" s="17"/>
      <c r="F23" s="19"/>
      <c r="G23" s="17"/>
      <c r="H23" s="17"/>
      <c r="I23" s="13"/>
    </row>
    <row r="24" spans="1:9" ht="15">
      <c r="A24" s="46">
        <v>110809</v>
      </c>
      <c r="B24" s="314" t="s">
        <v>16</v>
      </c>
      <c r="C24" s="314"/>
      <c r="D24" s="34">
        <v>3000000</v>
      </c>
      <c r="E24" s="34">
        <v>0</v>
      </c>
      <c r="F24" s="34">
        <v>0</v>
      </c>
      <c r="G24" s="34">
        <f aca="true" t="shared" si="3" ref="G24:G30">E24+F24</f>
        <v>0</v>
      </c>
      <c r="H24" s="34">
        <f aca="true" t="shared" si="4" ref="H24:H30">D24-G24</f>
        <v>3000000</v>
      </c>
      <c r="I24" s="41">
        <f aca="true" t="shared" si="5" ref="I24:I30">G24/D24*100</f>
        <v>0</v>
      </c>
    </row>
    <row r="25" spans="1:9" ht="15">
      <c r="A25" s="46">
        <v>110810</v>
      </c>
      <c r="B25" s="314" t="s">
        <v>17</v>
      </c>
      <c r="C25" s="314"/>
      <c r="D25" s="34">
        <v>25000000</v>
      </c>
      <c r="E25" s="34">
        <v>0</v>
      </c>
      <c r="F25" s="22">
        <f>2750000+500000+2750000+4000000+3750000</f>
        <v>13750000</v>
      </c>
      <c r="G25" s="34">
        <f t="shared" si="3"/>
        <v>13750000</v>
      </c>
      <c r="H25" s="34">
        <f t="shared" si="4"/>
        <v>11250000</v>
      </c>
      <c r="I25" s="41">
        <f t="shared" si="5"/>
        <v>55.00000000000001</v>
      </c>
    </row>
    <row r="26" spans="1:9" ht="15">
      <c r="A26" s="46">
        <v>110806</v>
      </c>
      <c r="B26" s="145" t="s">
        <v>46</v>
      </c>
      <c r="C26" s="145"/>
      <c r="D26" s="34">
        <v>35000000</v>
      </c>
      <c r="E26" s="34">
        <v>0</v>
      </c>
      <c r="F26" s="34">
        <v>0</v>
      </c>
      <c r="G26" s="34">
        <f t="shared" si="3"/>
        <v>0</v>
      </c>
      <c r="H26" s="34">
        <f t="shared" si="4"/>
        <v>35000000</v>
      </c>
      <c r="I26" s="41">
        <f t="shared" si="5"/>
        <v>0</v>
      </c>
    </row>
    <row r="27" spans="1:9" ht="15">
      <c r="A27" s="46">
        <v>110807</v>
      </c>
      <c r="B27" s="145" t="s">
        <v>47</v>
      </c>
      <c r="C27" s="145"/>
      <c r="D27" s="34">
        <v>3000000</v>
      </c>
      <c r="E27" s="34">
        <v>0</v>
      </c>
      <c r="F27" s="34">
        <v>0</v>
      </c>
      <c r="G27" s="34">
        <f t="shared" si="3"/>
        <v>0</v>
      </c>
      <c r="H27" s="34">
        <f t="shared" si="4"/>
        <v>3000000</v>
      </c>
      <c r="I27" s="41">
        <f t="shared" si="5"/>
        <v>0</v>
      </c>
    </row>
    <row r="28" spans="1:9" ht="15">
      <c r="A28" s="46"/>
      <c r="B28" s="311" t="s">
        <v>69</v>
      </c>
      <c r="C28" s="312"/>
      <c r="D28" s="71">
        <v>15000000</v>
      </c>
      <c r="E28" s="34">
        <v>0</v>
      </c>
      <c r="F28" s="34">
        <f>625000</f>
        <v>625000</v>
      </c>
      <c r="G28" s="34">
        <f t="shared" si="3"/>
        <v>625000</v>
      </c>
      <c r="H28" s="34">
        <f t="shared" si="4"/>
        <v>14375000</v>
      </c>
      <c r="I28" s="41">
        <f t="shared" si="5"/>
        <v>4.166666666666666</v>
      </c>
    </row>
    <row r="29" spans="1:9" ht="15">
      <c r="A29" s="46"/>
      <c r="B29" s="311" t="s">
        <v>70</v>
      </c>
      <c r="C29" s="312"/>
      <c r="D29" s="71">
        <v>2500000</v>
      </c>
      <c r="E29" s="34">
        <v>0</v>
      </c>
      <c r="F29" s="34">
        <v>0</v>
      </c>
      <c r="G29" s="34">
        <f t="shared" si="3"/>
        <v>0</v>
      </c>
      <c r="H29" s="34">
        <f t="shared" si="4"/>
        <v>2500000</v>
      </c>
      <c r="I29" s="41">
        <f t="shared" si="5"/>
        <v>0</v>
      </c>
    </row>
    <row r="30" spans="1:9" ht="15.75" thickBot="1">
      <c r="A30" s="9"/>
      <c r="B30" s="328" t="s">
        <v>3</v>
      </c>
      <c r="C30" s="328"/>
      <c r="D30" s="42">
        <f>SUM(D24:D29)</f>
        <v>83500000</v>
      </c>
      <c r="E30" s="42"/>
      <c r="F30" s="44">
        <f>SUM(F24:F29)</f>
        <v>14375000</v>
      </c>
      <c r="G30" s="44">
        <f t="shared" si="3"/>
        <v>14375000</v>
      </c>
      <c r="H30" s="44">
        <f t="shared" si="4"/>
        <v>69125000</v>
      </c>
      <c r="I30" s="45">
        <f t="shared" si="5"/>
        <v>17.21556886227545</v>
      </c>
    </row>
    <row r="31" spans="1:9" ht="15.75" thickTop="1">
      <c r="A31" s="9"/>
      <c r="B31" s="70"/>
      <c r="C31" s="70"/>
      <c r="D31" s="20"/>
      <c r="E31" s="20"/>
      <c r="F31" s="67"/>
      <c r="G31" s="17"/>
      <c r="H31" s="17"/>
      <c r="I31" s="13"/>
    </row>
    <row r="32" spans="1:9" ht="15">
      <c r="A32" s="9"/>
      <c r="B32" s="318" t="s">
        <v>18</v>
      </c>
      <c r="C32" s="318"/>
      <c r="D32" s="20"/>
      <c r="E32" s="20"/>
      <c r="F32" s="67"/>
      <c r="G32" s="17"/>
      <c r="H32" s="17"/>
      <c r="I32" s="13"/>
    </row>
    <row r="33" spans="1:9" ht="15">
      <c r="A33" s="46">
        <v>140348</v>
      </c>
      <c r="B33" s="314" t="s">
        <v>19</v>
      </c>
      <c r="C33" s="314"/>
      <c r="D33" s="34">
        <v>40000000</v>
      </c>
      <c r="E33" s="34">
        <v>0</v>
      </c>
      <c r="F33" s="66">
        <f>500000</f>
        <v>500000</v>
      </c>
      <c r="G33" s="34">
        <f>E33+F33</f>
        <v>500000</v>
      </c>
      <c r="H33" s="34">
        <f>D33-G33</f>
        <v>39500000</v>
      </c>
      <c r="I33" s="41">
        <f>G33/D33*100</f>
        <v>1.25</v>
      </c>
    </row>
    <row r="34" spans="1:9" ht="15">
      <c r="A34" s="46">
        <v>140349</v>
      </c>
      <c r="B34" s="314" t="s">
        <v>20</v>
      </c>
      <c r="C34" s="314"/>
      <c r="D34" s="34">
        <v>4000000</v>
      </c>
      <c r="E34" s="34">
        <v>0</v>
      </c>
      <c r="F34" s="66">
        <f>750000+450000+150000+120000</f>
        <v>1470000</v>
      </c>
      <c r="G34" s="34">
        <f>E34+F34</f>
        <v>1470000</v>
      </c>
      <c r="H34" s="34">
        <f>D34-G34</f>
        <v>2530000</v>
      </c>
      <c r="I34" s="41">
        <f>G34/D34*100</f>
        <v>36.75</v>
      </c>
    </row>
    <row r="35" spans="1:9" ht="15">
      <c r="A35" s="46"/>
      <c r="B35" s="311" t="s">
        <v>68</v>
      </c>
      <c r="C35" s="312"/>
      <c r="D35" s="71">
        <v>4000000</v>
      </c>
      <c r="E35" s="34">
        <v>0</v>
      </c>
      <c r="F35" s="34">
        <f>20000</f>
        <v>20000</v>
      </c>
      <c r="G35" s="34">
        <f>E35+F35</f>
        <v>20000</v>
      </c>
      <c r="H35" s="34">
        <f>D35-G35</f>
        <v>3980000</v>
      </c>
      <c r="I35" s="41">
        <f>G35/D35*100</f>
        <v>0.5</v>
      </c>
    </row>
    <row r="36" spans="1:9" ht="15.75" thickBot="1">
      <c r="A36" s="9"/>
      <c r="B36" s="328" t="s">
        <v>3</v>
      </c>
      <c r="C36" s="328"/>
      <c r="D36" s="42">
        <f>SUM(D33:D35)</f>
        <v>48000000</v>
      </c>
      <c r="E36" s="42">
        <f>SUM(E33:E35)</f>
        <v>0</v>
      </c>
      <c r="F36" s="44">
        <f>SUM(F33:F35)</f>
        <v>1990000</v>
      </c>
      <c r="G36" s="44">
        <f>E36+F36</f>
        <v>1990000</v>
      </c>
      <c r="H36" s="44">
        <f>D36-G36</f>
        <v>46010000</v>
      </c>
      <c r="I36" s="45">
        <f>G36/D36*100</f>
        <v>4.145833333333333</v>
      </c>
    </row>
    <row r="37" spans="1:9" ht="15.75" thickTop="1">
      <c r="A37" s="9"/>
      <c r="B37" s="315"/>
      <c r="C37" s="315"/>
      <c r="D37" s="17"/>
      <c r="E37" s="17"/>
      <c r="F37" s="19"/>
      <c r="G37" s="17"/>
      <c r="H37" s="17"/>
      <c r="I37" s="13"/>
    </row>
    <row r="38" spans="1:9" ht="15.75">
      <c r="A38" s="76"/>
      <c r="B38" s="318" t="s">
        <v>21</v>
      </c>
      <c r="C38" s="318"/>
      <c r="D38" s="17"/>
      <c r="E38" s="17"/>
      <c r="F38" s="19"/>
      <c r="G38" s="17"/>
      <c r="H38" s="17"/>
      <c r="I38" s="13"/>
    </row>
    <row r="39" spans="1:9" ht="15">
      <c r="A39" s="46">
        <v>110802</v>
      </c>
      <c r="B39" s="314" t="s">
        <v>22</v>
      </c>
      <c r="C39" s="314"/>
      <c r="D39" s="34">
        <v>4500000</v>
      </c>
      <c r="E39" s="34">
        <v>0</v>
      </c>
      <c r="F39" s="34">
        <v>0</v>
      </c>
      <c r="G39" s="34">
        <f>E39+F39</f>
        <v>0</v>
      </c>
      <c r="H39" s="34">
        <f>D39-G39</f>
        <v>4500000</v>
      </c>
      <c r="I39" s="41">
        <f>G39/D39*100</f>
        <v>0</v>
      </c>
    </row>
    <row r="40" spans="1:9" ht="15">
      <c r="A40" s="46">
        <v>140289</v>
      </c>
      <c r="B40" s="314" t="s">
        <v>23</v>
      </c>
      <c r="C40" s="314"/>
      <c r="D40" s="34">
        <v>5000000</v>
      </c>
      <c r="E40" s="34">
        <v>0</v>
      </c>
      <c r="F40" s="66">
        <v>0</v>
      </c>
      <c r="G40" s="34">
        <f>E40+F40</f>
        <v>0</v>
      </c>
      <c r="H40" s="34">
        <f>D40-G40</f>
        <v>5000000</v>
      </c>
      <c r="I40" s="41">
        <f>G40/D40*100</f>
        <v>0</v>
      </c>
    </row>
    <row r="41" spans="1:9" ht="15.75" thickBot="1">
      <c r="A41" s="9"/>
      <c r="B41" s="328" t="s">
        <v>3</v>
      </c>
      <c r="C41" s="328"/>
      <c r="D41" s="42">
        <f>SUM(D39:D40)</f>
        <v>9500000</v>
      </c>
      <c r="E41" s="42">
        <f>SUM(E39:E40)</f>
        <v>0</v>
      </c>
      <c r="F41" s="49">
        <f>SUM(F39:F40)</f>
        <v>0</v>
      </c>
      <c r="G41" s="44">
        <f>E41+F41</f>
        <v>0</v>
      </c>
      <c r="H41" s="44">
        <f>D41-G41</f>
        <v>9500000</v>
      </c>
      <c r="I41" s="45">
        <f>G41/D41*100</f>
        <v>0</v>
      </c>
    </row>
    <row r="42" spans="1:9" ht="15.75" thickTop="1">
      <c r="A42" s="9"/>
      <c r="B42" s="70"/>
      <c r="C42" s="70"/>
      <c r="D42" s="20"/>
      <c r="E42" s="20"/>
      <c r="F42" s="67"/>
      <c r="G42" s="17"/>
      <c r="H42" s="17"/>
      <c r="I42" s="13"/>
    </row>
    <row r="43" spans="1:9" ht="15">
      <c r="A43" s="9"/>
      <c r="B43" s="70"/>
      <c r="C43" s="70"/>
      <c r="D43" s="20"/>
      <c r="E43" s="20"/>
      <c r="F43" s="67"/>
      <c r="G43" s="17"/>
      <c r="H43" s="17"/>
      <c r="I43" s="13"/>
    </row>
    <row r="44" spans="1:9" ht="15">
      <c r="A44" s="9"/>
      <c r="B44" s="70"/>
      <c r="C44" s="70"/>
      <c r="D44" s="20"/>
      <c r="E44" s="20"/>
      <c r="F44" s="67"/>
      <c r="G44" s="17"/>
      <c r="H44" s="17"/>
      <c r="I44" s="13"/>
    </row>
    <row r="45" spans="1:9" ht="15">
      <c r="A45" s="9"/>
      <c r="B45" s="70"/>
      <c r="C45" s="70"/>
      <c r="D45" s="20"/>
      <c r="E45" s="20"/>
      <c r="F45" s="67"/>
      <c r="G45" s="17"/>
      <c r="H45" s="17"/>
      <c r="I45" s="13"/>
    </row>
    <row r="46" spans="1:9" ht="15">
      <c r="A46" s="9"/>
      <c r="B46" s="329" t="s">
        <v>24</v>
      </c>
      <c r="C46" s="329"/>
      <c r="D46" s="20"/>
      <c r="E46" s="20"/>
      <c r="F46" s="67"/>
      <c r="G46" s="17"/>
      <c r="H46" s="17"/>
      <c r="I46" s="13"/>
    </row>
    <row r="47" spans="1:9" ht="15">
      <c r="A47" s="46">
        <v>140376</v>
      </c>
      <c r="B47" s="314" t="s">
        <v>25</v>
      </c>
      <c r="C47" s="314"/>
      <c r="D47" s="34">
        <v>6000000</v>
      </c>
      <c r="E47" s="34">
        <v>0</v>
      </c>
      <c r="F47" s="66">
        <f>1000000</f>
        <v>1000000</v>
      </c>
      <c r="G47" s="34">
        <f>E47+F47</f>
        <v>1000000</v>
      </c>
      <c r="H47" s="34">
        <f>D47-G47</f>
        <v>5000000</v>
      </c>
      <c r="I47" s="41">
        <f>G47/D47*100</f>
        <v>16.666666666666664</v>
      </c>
    </row>
    <row r="48" spans="1:9" ht="15">
      <c r="A48" s="46">
        <v>140378</v>
      </c>
      <c r="B48" s="314" t="s">
        <v>26</v>
      </c>
      <c r="C48" s="314"/>
      <c r="D48" s="34">
        <v>500000</v>
      </c>
      <c r="E48" s="34">
        <v>0</v>
      </c>
      <c r="F48" s="22">
        <f>2000</f>
        <v>2000</v>
      </c>
      <c r="G48" s="34">
        <f>E48+F48</f>
        <v>2000</v>
      </c>
      <c r="H48" s="34">
        <f>D48-G48</f>
        <v>498000</v>
      </c>
      <c r="I48" s="41">
        <f>G48/D48*100</f>
        <v>0.4</v>
      </c>
    </row>
    <row r="49" spans="1:9" ht="15.75" thickBot="1">
      <c r="A49" s="9"/>
      <c r="B49" s="328" t="s">
        <v>3</v>
      </c>
      <c r="C49" s="328"/>
      <c r="D49" s="42">
        <f>SUM(D47:D48)</f>
        <v>6500000</v>
      </c>
      <c r="E49" s="42">
        <f>SUM(E47:E48)</f>
        <v>0</v>
      </c>
      <c r="F49" s="44">
        <f>SUM(F47:F48)</f>
        <v>1002000</v>
      </c>
      <c r="G49" s="44">
        <f>E49+F49</f>
        <v>1002000</v>
      </c>
      <c r="H49" s="44">
        <f>D49-G49</f>
        <v>5498000</v>
      </c>
      <c r="I49" s="47">
        <f>G49/D49*100</f>
        <v>15.415384615384614</v>
      </c>
    </row>
    <row r="50" spans="1:9" ht="15.75" thickTop="1">
      <c r="A50" s="9"/>
      <c r="B50" s="68"/>
      <c r="C50" s="68"/>
      <c r="D50" s="20"/>
      <c r="E50" s="20"/>
      <c r="F50" s="26"/>
      <c r="G50" s="26"/>
      <c r="H50" s="26"/>
      <c r="I50" s="29"/>
    </row>
    <row r="51" spans="1:9" ht="20.25" customHeight="1">
      <c r="A51" s="9"/>
      <c r="B51" s="337" t="s">
        <v>54</v>
      </c>
      <c r="C51" s="337"/>
      <c r="D51" s="17"/>
      <c r="E51" s="17"/>
      <c r="F51" s="19"/>
      <c r="G51" s="17"/>
      <c r="H51" s="17"/>
      <c r="I51" s="13"/>
    </row>
    <row r="52" spans="1:9" ht="18.75" customHeight="1">
      <c r="A52" s="46"/>
      <c r="B52" s="145" t="s">
        <v>51</v>
      </c>
      <c r="C52" s="145"/>
      <c r="D52" s="34">
        <v>114860000</v>
      </c>
      <c r="E52" s="34">
        <v>0</v>
      </c>
      <c r="F52" s="34">
        <v>0</v>
      </c>
      <c r="G52" s="34">
        <f>E52+F52</f>
        <v>0</v>
      </c>
      <c r="H52" s="34">
        <f>D52-G52</f>
        <v>114860000</v>
      </c>
      <c r="I52" s="41">
        <f>G52/D52*100</f>
        <v>0</v>
      </c>
    </row>
    <row r="53" spans="1:9" ht="23.25" customHeight="1">
      <c r="A53" s="51"/>
      <c r="B53" s="154" t="s">
        <v>27</v>
      </c>
      <c r="C53" s="154"/>
      <c r="D53" s="310"/>
      <c r="E53" s="310"/>
      <c r="F53" s="310"/>
      <c r="G53" s="310"/>
      <c r="H53" s="310"/>
      <c r="I53" s="310"/>
    </row>
    <row r="54" spans="1:9" ht="15">
      <c r="A54" s="80">
        <v>140399</v>
      </c>
      <c r="B54" s="311" t="s">
        <v>48</v>
      </c>
      <c r="C54" s="312"/>
      <c r="D54" s="34">
        <v>86560000</v>
      </c>
      <c r="E54" s="34">
        <v>0</v>
      </c>
      <c r="F54" s="48">
        <f>690000+140000+210000+340000+580000+80000+440000+260000+360000+450000+500000</f>
        <v>4050000</v>
      </c>
      <c r="G54" s="34">
        <f aca="true" t="shared" si="6" ref="G54:G61">E54+F54</f>
        <v>4050000</v>
      </c>
      <c r="H54" s="34">
        <f>D54-G54</f>
        <v>82510000</v>
      </c>
      <c r="I54" s="41">
        <f>G54/D54*100</f>
        <v>4.6788354898336415</v>
      </c>
    </row>
    <row r="55" spans="1:9" ht="15">
      <c r="A55" s="46"/>
      <c r="B55" s="145" t="s">
        <v>49</v>
      </c>
      <c r="C55" s="145"/>
      <c r="D55" s="34">
        <v>15700000</v>
      </c>
      <c r="E55" s="34">
        <v>0</v>
      </c>
      <c r="F55" s="48">
        <v>0</v>
      </c>
      <c r="G55" s="34">
        <f t="shared" si="6"/>
        <v>0</v>
      </c>
      <c r="H55" s="34">
        <f>D55-G55</f>
        <v>15700000</v>
      </c>
      <c r="I55" s="41">
        <f>G55/D55*100</f>
        <v>0</v>
      </c>
    </row>
    <row r="56" spans="1:9" ht="15">
      <c r="A56" s="46"/>
      <c r="B56" s="311" t="s">
        <v>50</v>
      </c>
      <c r="C56" s="312"/>
      <c r="D56" s="34">
        <v>13500000</v>
      </c>
      <c r="E56" s="34">
        <v>0</v>
      </c>
      <c r="F56" s="34">
        <v>0</v>
      </c>
      <c r="G56" s="34">
        <f t="shared" si="6"/>
        <v>0</v>
      </c>
      <c r="H56" s="34">
        <f>D56-G56</f>
        <v>13500000</v>
      </c>
      <c r="I56" s="41">
        <f>G56/D56*100</f>
        <v>0</v>
      </c>
    </row>
    <row r="57" spans="1:9" ht="15.75" thickBot="1">
      <c r="A57" s="51"/>
      <c r="B57" s="313" t="s">
        <v>3</v>
      </c>
      <c r="C57" s="313"/>
      <c r="D57" s="49">
        <f>SUM(D54:D56)</f>
        <v>115760000</v>
      </c>
      <c r="E57" s="49">
        <f>SUM(E54:E56)</f>
        <v>0</v>
      </c>
      <c r="F57" s="44">
        <f>SUM(F52:F56)</f>
        <v>4050000</v>
      </c>
      <c r="G57" s="44">
        <f t="shared" si="6"/>
        <v>4050000</v>
      </c>
      <c r="H57" s="44">
        <f>D57-G57</f>
        <v>111710000</v>
      </c>
      <c r="I57" s="47">
        <f>G57/D57*100</f>
        <v>3.4986178299930892</v>
      </c>
    </row>
    <row r="58" spans="1:9" ht="15.75" thickTop="1">
      <c r="A58" s="9"/>
      <c r="B58" s="315"/>
      <c r="C58" s="315"/>
      <c r="D58" s="17"/>
      <c r="E58" s="17"/>
      <c r="F58" s="19"/>
      <c r="G58" s="26">
        <f t="shared" si="6"/>
        <v>0</v>
      </c>
      <c r="H58" s="17"/>
      <c r="I58" s="13"/>
    </row>
    <row r="59" spans="1:9" ht="15">
      <c r="A59" s="9"/>
      <c r="B59" s="149" t="s">
        <v>28</v>
      </c>
      <c r="C59" s="149"/>
      <c r="D59" s="17"/>
      <c r="E59" s="17"/>
      <c r="F59" s="19"/>
      <c r="G59" s="26">
        <f t="shared" si="6"/>
        <v>0</v>
      </c>
      <c r="H59" s="17"/>
      <c r="I59" s="13"/>
    </row>
    <row r="60" spans="1:9" ht="15">
      <c r="A60" s="46">
        <v>140384</v>
      </c>
      <c r="B60" s="314" t="s">
        <v>29</v>
      </c>
      <c r="C60" s="314"/>
      <c r="D60" s="34">
        <v>3000000</v>
      </c>
      <c r="E60" s="34">
        <v>0</v>
      </c>
      <c r="F60" s="56">
        <v>0</v>
      </c>
      <c r="G60" s="39">
        <f t="shared" si="6"/>
        <v>0</v>
      </c>
      <c r="H60" s="57">
        <f>D60-G60</f>
        <v>3000000</v>
      </c>
      <c r="I60" s="41">
        <f>G60/D60*100</f>
        <v>0</v>
      </c>
    </row>
    <row r="61" spans="1:11" ht="15.75" thickBot="1">
      <c r="A61" s="2"/>
      <c r="B61" s="316" t="s">
        <v>30</v>
      </c>
      <c r="C61" s="316"/>
      <c r="D61" s="42">
        <f>D15+D21+D30+D36+D41+D49+D60+D52+D57</f>
        <v>2249120000</v>
      </c>
      <c r="E61" s="42">
        <f>E15+E21+E30+E36+E41+E49+E60+E52+E57</f>
        <v>0</v>
      </c>
      <c r="F61" s="42">
        <f>F15+F21+F30+F36+F41+F49+F60+F52+F57</f>
        <v>103706583.68</v>
      </c>
      <c r="G61" s="55">
        <f t="shared" si="6"/>
        <v>103706583.68</v>
      </c>
      <c r="H61" s="44">
        <f>D61-G61</f>
        <v>2145413416.32</v>
      </c>
      <c r="I61" s="45">
        <f aca="true" t="shared" si="7" ref="I61:I72">G61/D61*100</f>
        <v>4.6109849043181335</v>
      </c>
      <c r="K61" s="26"/>
    </row>
    <row r="62" spans="1:9" ht="15.75" thickTop="1">
      <c r="A62" s="2"/>
      <c r="B62" s="315"/>
      <c r="C62" s="315"/>
      <c r="D62" s="17"/>
      <c r="E62" s="17"/>
      <c r="F62" s="17"/>
      <c r="G62" s="17"/>
      <c r="H62" s="17"/>
      <c r="I62" s="150"/>
    </row>
    <row r="63" spans="1:9" ht="15">
      <c r="A63" s="319" t="s">
        <v>79</v>
      </c>
      <c r="B63" s="319"/>
      <c r="C63" s="319"/>
      <c r="D63" s="151"/>
      <c r="E63" s="151"/>
      <c r="F63" s="151"/>
      <c r="G63" s="151"/>
      <c r="H63" s="151"/>
      <c r="I63" s="151"/>
    </row>
    <row r="64" spans="1:9" ht="15">
      <c r="A64" s="73">
        <v>210101</v>
      </c>
      <c r="B64" s="332" t="s">
        <v>1077</v>
      </c>
      <c r="C64" s="332"/>
      <c r="D64" s="60">
        <v>1827993600</v>
      </c>
      <c r="E64" s="60">
        <v>0</v>
      </c>
      <c r="F64" s="60">
        <f>198857.29+36024059.45+10482531.41</f>
        <v>46705448.150000006</v>
      </c>
      <c r="G64" s="60">
        <f>E64+F64</f>
        <v>46705448.150000006</v>
      </c>
      <c r="H64" s="60">
        <f>D64-G64</f>
        <v>1781288151.85</v>
      </c>
      <c r="I64" s="41">
        <f t="shared" si="7"/>
        <v>2.555011579362204</v>
      </c>
    </row>
    <row r="65" spans="1:9" ht="15">
      <c r="A65" s="73">
        <v>210101</v>
      </c>
      <c r="B65" s="332" t="s">
        <v>33</v>
      </c>
      <c r="C65" s="332"/>
      <c r="D65" s="60">
        <v>274512000</v>
      </c>
      <c r="E65" s="60">
        <v>0</v>
      </c>
      <c r="F65" s="60">
        <v>7424008.18</v>
      </c>
      <c r="G65" s="60">
        <f aca="true" t="shared" si="8" ref="G65:G71">E65+F65</f>
        <v>7424008.18</v>
      </c>
      <c r="H65" s="60">
        <f aca="true" t="shared" si="9" ref="H65:H72">D65-G65</f>
        <v>267087991.82</v>
      </c>
      <c r="I65" s="41">
        <f t="shared" si="7"/>
        <v>2.7044384872063882</v>
      </c>
    </row>
    <row r="66" spans="1:9" ht="15">
      <c r="A66" s="73">
        <v>210101</v>
      </c>
      <c r="B66" s="333" t="s">
        <v>1078</v>
      </c>
      <c r="C66" s="334"/>
      <c r="D66" s="60">
        <v>535917600</v>
      </c>
      <c r="E66" s="60">
        <v>0</v>
      </c>
      <c r="F66" s="60">
        <v>21844012.54</v>
      </c>
      <c r="G66" s="60">
        <f t="shared" si="8"/>
        <v>21844012.54</v>
      </c>
      <c r="H66" s="60">
        <f t="shared" si="9"/>
        <v>514073587.46</v>
      </c>
      <c r="I66" s="41">
        <f t="shared" si="7"/>
        <v>4.076002083156067</v>
      </c>
    </row>
    <row r="67" spans="1:13" ht="15">
      <c r="A67" s="73">
        <v>210101</v>
      </c>
      <c r="B67" s="314" t="s">
        <v>52</v>
      </c>
      <c r="C67" s="314"/>
      <c r="D67" s="60">
        <v>7069695000</v>
      </c>
      <c r="E67" s="152">
        <v>0</v>
      </c>
      <c r="F67" s="60">
        <f>4579943.39+341302920.2</f>
        <v>345882863.59</v>
      </c>
      <c r="G67" s="60">
        <f t="shared" si="8"/>
        <v>345882863.59</v>
      </c>
      <c r="H67" s="60">
        <f t="shared" si="9"/>
        <v>6723812136.41</v>
      </c>
      <c r="I67" s="41">
        <f t="shared" si="7"/>
        <v>4.8924722154208915</v>
      </c>
      <c r="K67" s="317" t="s">
        <v>1139</v>
      </c>
      <c r="L67" s="317"/>
      <c r="M67" s="317"/>
    </row>
    <row r="68" spans="1:13" ht="15">
      <c r="A68" s="73">
        <v>210101</v>
      </c>
      <c r="B68" s="314" t="s">
        <v>55</v>
      </c>
      <c r="C68" s="314"/>
      <c r="D68" s="60">
        <v>2759896200</v>
      </c>
      <c r="E68" s="152">
        <v>0</v>
      </c>
      <c r="F68" s="60">
        <v>154588934.69</v>
      </c>
      <c r="G68" s="60">
        <f t="shared" si="8"/>
        <v>154588934.69</v>
      </c>
      <c r="H68" s="60">
        <f t="shared" si="9"/>
        <v>2605307265.31</v>
      </c>
      <c r="I68" s="41">
        <f t="shared" si="7"/>
        <v>5.601259014378874</v>
      </c>
      <c r="K68" s="190">
        <v>50000</v>
      </c>
      <c r="L68" t="s">
        <v>1133</v>
      </c>
      <c r="M68" t="s">
        <v>1134</v>
      </c>
    </row>
    <row r="69" spans="1:13" ht="15">
      <c r="A69" s="73">
        <v>210101</v>
      </c>
      <c r="B69" s="314" t="s">
        <v>31</v>
      </c>
      <c r="C69" s="314"/>
      <c r="D69" s="60">
        <v>2400969600</v>
      </c>
      <c r="E69" s="60">
        <v>0</v>
      </c>
      <c r="F69" s="60">
        <f>14523751.18+334540.78+28109847.23+46040613.4+3087942.66</f>
        <v>92096695.25</v>
      </c>
      <c r="G69" s="60">
        <f t="shared" si="8"/>
        <v>92096695.25</v>
      </c>
      <c r="H69" s="60">
        <f t="shared" si="9"/>
        <v>2308872904.75</v>
      </c>
      <c r="I69" s="41">
        <f t="shared" si="7"/>
        <v>3.835812633779286</v>
      </c>
      <c r="K69" s="190">
        <v>50000</v>
      </c>
      <c r="L69" t="s">
        <v>1135</v>
      </c>
      <c r="M69" t="s">
        <v>1136</v>
      </c>
    </row>
    <row r="70" spans="1:13" ht="15">
      <c r="A70" s="73">
        <v>210101</v>
      </c>
      <c r="B70" s="314" t="s">
        <v>35</v>
      </c>
      <c r="C70" s="314"/>
      <c r="D70" s="60">
        <v>99128400</v>
      </c>
      <c r="E70" s="60">
        <v>0</v>
      </c>
      <c r="F70" s="60">
        <v>1864173.33</v>
      </c>
      <c r="G70" s="60">
        <f t="shared" si="8"/>
        <v>1864173.33</v>
      </c>
      <c r="H70" s="60">
        <f t="shared" si="9"/>
        <v>97264226.67</v>
      </c>
      <c r="I70" s="41">
        <f t="shared" si="7"/>
        <v>1.880564328688852</v>
      </c>
      <c r="K70" s="190">
        <v>50000</v>
      </c>
      <c r="L70" t="s">
        <v>1137</v>
      </c>
      <c r="M70" t="s">
        <v>1138</v>
      </c>
    </row>
    <row r="71" spans="1:11" ht="15">
      <c r="A71" s="73">
        <v>210101</v>
      </c>
      <c r="B71" s="314" t="s">
        <v>32</v>
      </c>
      <c r="C71" s="314"/>
      <c r="D71" s="60">
        <v>77556000</v>
      </c>
      <c r="E71" s="60">
        <v>0</v>
      </c>
      <c r="F71" s="60">
        <v>2189515</v>
      </c>
      <c r="G71" s="60">
        <f t="shared" si="8"/>
        <v>2189515</v>
      </c>
      <c r="H71" s="60">
        <f t="shared" si="9"/>
        <v>75366485</v>
      </c>
      <c r="I71" s="41">
        <f t="shared" si="7"/>
        <v>2.823140698334107</v>
      </c>
      <c r="K71" s="190">
        <f>53*500</f>
        <v>26500</v>
      </c>
    </row>
    <row r="72" spans="1:11" ht="15.75" thickBot="1">
      <c r="A72" s="148"/>
      <c r="B72" s="335" t="s">
        <v>1079</v>
      </c>
      <c r="C72" s="336"/>
      <c r="D72" s="43">
        <f>SUM(D64:D71)</f>
        <v>15045668400</v>
      </c>
      <c r="E72" s="43">
        <f>SUM(E64:E71)</f>
        <v>0</v>
      </c>
      <c r="F72" s="43">
        <f>SUM(F64:F71)</f>
        <v>672595650.73</v>
      </c>
      <c r="G72" s="43">
        <f>SUM(G64:G71)</f>
        <v>672595650.73</v>
      </c>
      <c r="H72" s="43">
        <f t="shared" si="9"/>
        <v>14373072749.27</v>
      </c>
      <c r="I72" s="45">
        <f t="shared" si="7"/>
        <v>4.470360723422563</v>
      </c>
      <c r="K72" s="190">
        <f>64*500</f>
        <v>32000</v>
      </c>
    </row>
    <row r="73" spans="1:11" ht="15.75" thickTop="1">
      <c r="A73" s="72"/>
      <c r="B73" s="338"/>
      <c r="C73" s="338"/>
      <c r="D73" s="23"/>
      <c r="E73" s="23"/>
      <c r="F73" s="23"/>
      <c r="G73" s="24"/>
      <c r="H73" s="24"/>
      <c r="I73" s="28"/>
      <c r="K73" s="190">
        <f>38*500</f>
        <v>19000</v>
      </c>
    </row>
    <row r="74" spans="1:11" ht="15">
      <c r="A74" s="72"/>
      <c r="B74" s="153"/>
      <c r="C74" s="153"/>
      <c r="D74" s="23"/>
      <c r="E74" s="23"/>
      <c r="F74" s="23"/>
      <c r="G74" s="24"/>
      <c r="H74" s="24"/>
      <c r="I74" s="28"/>
      <c r="K74" s="190">
        <v>20500</v>
      </c>
    </row>
    <row r="75" spans="1:13" ht="15">
      <c r="A75" s="72"/>
      <c r="B75" s="153"/>
      <c r="C75" s="153"/>
      <c r="D75" s="23"/>
      <c r="E75" s="23"/>
      <c r="F75" s="23"/>
      <c r="G75" s="24"/>
      <c r="H75" s="24"/>
      <c r="I75" s="28"/>
      <c r="K75" s="193">
        <f>SUM(K68:K74)</f>
        <v>248000</v>
      </c>
      <c r="L75" s="3">
        <f>K75*2</f>
        <v>496000</v>
      </c>
      <c r="M75" s="3">
        <f>L75*12</f>
        <v>5952000</v>
      </c>
    </row>
    <row r="76" spans="1:11" ht="15.75" thickTop="1">
      <c r="A76" s="72"/>
      <c r="B76" s="318" t="s">
        <v>44</v>
      </c>
      <c r="C76" s="318"/>
      <c r="D76" s="23"/>
      <c r="E76" s="23"/>
      <c r="F76" s="23"/>
      <c r="G76" s="24"/>
      <c r="H76" s="24"/>
      <c r="I76" s="28"/>
      <c r="K76" s="190">
        <f>K75*10%</f>
        <v>24800</v>
      </c>
    </row>
    <row r="77" spans="1:11" ht="15">
      <c r="A77" s="40">
        <v>130201</v>
      </c>
      <c r="B77" s="332" t="s">
        <v>1074</v>
      </c>
      <c r="C77" s="332"/>
      <c r="D77" s="34">
        <v>84419800</v>
      </c>
      <c r="E77" s="60">
        <v>0</v>
      </c>
      <c r="F77" s="34">
        <f>40308000+18539000</f>
        <v>58847000</v>
      </c>
      <c r="G77" s="34">
        <f>E77+F77</f>
        <v>58847000</v>
      </c>
      <c r="H77" s="34">
        <f>D77-G77</f>
        <v>25572800</v>
      </c>
      <c r="I77" s="41">
        <f>G77/D77*100</f>
        <v>69.70758044913634</v>
      </c>
      <c r="K77" s="190">
        <f>K75-K76</f>
        <v>223200</v>
      </c>
    </row>
    <row r="78" spans="1:9" ht="15">
      <c r="A78" s="33">
        <v>130202</v>
      </c>
      <c r="B78" s="314" t="s">
        <v>31</v>
      </c>
      <c r="C78" s="314"/>
      <c r="D78" s="34">
        <v>211311000</v>
      </c>
      <c r="E78" s="34">
        <v>0</v>
      </c>
      <c r="F78" s="34">
        <f>6664000+15707000</f>
        <v>22371000</v>
      </c>
      <c r="G78" s="34">
        <f aca="true" t="shared" si="10" ref="G78:G99">E78+F78</f>
        <v>22371000</v>
      </c>
      <c r="H78" s="34">
        <f aca="true" t="shared" si="11" ref="H78:H99">D78-G78</f>
        <v>188940000</v>
      </c>
      <c r="I78" s="41">
        <f aca="true" t="shared" si="12" ref="I78:I99">G78/D78*100</f>
        <v>10.586765478370742</v>
      </c>
    </row>
    <row r="79" spans="1:9" ht="15">
      <c r="A79" s="33">
        <v>130202</v>
      </c>
      <c r="B79" s="314" t="s">
        <v>32</v>
      </c>
      <c r="C79" s="314"/>
      <c r="D79" s="34">
        <v>15659000</v>
      </c>
      <c r="E79" s="34">
        <v>0</v>
      </c>
      <c r="F79" s="34">
        <v>652500</v>
      </c>
      <c r="G79" s="34">
        <f t="shared" si="10"/>
        <v>652500</v>
      </c>
      <c r="H79" s="34">
        <f t="shared" si="11"/>
        <v>15006500</v>
      </c>
      <c r="I79" s="41">
        <f t="shared" si="12"/>
        <v>4.166932754326585</v>
      </c>
    </row>
    <row r="80" spans="1:9" ht="15">
      <c r="A80" s="33">
        <v>130202</v>
      </c>
      <c r="B80" s="314" t="s">
        <v>1075</v>
      </c>
      <c r="C80" s="314"/>
      <c r="D80" s="34">
        <v>25115000</v>
      </c>
      <c r="E80" s="34">
        <v>0</v>
      </c>
      <c r="F80" s="34">
        <v>2093000</v>
      </c>
      <c r="G80" s="34">
        <f t="shared" si="10"/>
        <v>2093000</v>
      </c>
      <c r="H80" s="34">
        <f t="shared" si="11"/>
        <v>23022000</v>
      </c>
      <c r="I80" s="41">
        <f t="shared" si="12"/>
        <v>8.33366514035437</v>
      </c>
    </row>
    <row r="81" spans="1:9" ht="15">
      <c r="A81" s="33">
        <v>130202</v>
      </c>
      <c r="B81" s="314" t="s">
        <v>1076</v>
      </c>
      <c r="C81" s="314"/>
      <c r="D81" s="34">
        <v>12000000</v>
      </c>
      <c r="E81" s="34">
        <v>0</v>
      </c>
      <c r="F81" s="34">
        <v>0</v>
      </c>
      <c r="G81" s="34">
        <f t="shared" si="10"/>
        <v>0</v>
      </c>
      <c r="H81" s="34">
        <f t="shared" si="11"/>
        <v>12000000</v>
      </c>
      <c r="I81" s="41">
        <v>0</v>
      </c>
    </row>
    <row r="82" spans="1:16" ht="15">
      <c r="A82" s="33">
        <v>130202</v>
      </c>
      <c r="B82" s="314" t="s">
        <v>52</v>
      </c>
      <c r="C82" s="314"/>
      <c r="D82" s="34">
        <v>257208000</v>
      </c>
      <c r="E82" s="34">
        <v>0</v>
      </c>
      <c r="F82" s="34">
        <f>13050000+10590000</f>
        <v>23640000</v>
      </c>
      <c r="G82" s="34">
        <f t="shared" si="10"/>
        <v>23640000</v>
      </c>
      <c r="H82" s="34">
        <f t="shared" si="11"/>
        <v>233568000</v>
      </c>
      <c r="I82" s="41">
        <f t="shared" si="12"/>
        <v>9.191004945413829</v>
      </c>
      <c r="K82" s="317" t="s">
        <v>1132</v>
      </c>
      <c r="L82" s="317"/>
      <c r="M82" s="317"/>
      <c r="P82">
        <v>17000</v>
      </c>
    </row>
    <row r="83" spans="1:16" ht="15">
      <c r="A83" s="33"/>
      <c r="B83" s="314" t="s">
        <v>34</v>
      </c>
      <c r="C83" s="314"/>
      <c r="D83" s="34">
        <v>212491000</v>
      </c>
      <c r="E83" s="34">
        <v>0</v>
      </c>
      <c r="F83" s="34">
        <v>11120000</v>
      </c>
      <c r="G83" s="34">
        <f t="shared" si="10"/>
        <v>11120000</v>
      </c>
      <c r="H83" s="34">
        <f t="shared" si="11"/>
        <v>201371000</v>
      </c>
      <c r="I83" s="41">
        <f t="shared" si="12"/>
        <v>5.233162816307514</v>
      </c>
      <c r="K83" s="190">
        <f>27000+26500</f>
        <v>53500</v>
      </c>
      <c r="L83" t="s">
        <v>1112</v>
      </c>
      <c r="M83" t="s">
        <v>1113</v>
      </c>
      <c r="P83">
        <v>20000</v>
      </c>
    </row>
    <row r="84" spans="1:13" ht="15">
      <c r="A84" s="33"/>
      <c r="B84" s="314" t="s">
        <v>1080</v>
      </c>
      <c r="C84" s="314"/>
      <c r="D84" s="34">
        <v>106123000</v>
      </c>
      <c r="E84" s="34">
        <v>0</v>
      </c>
      <c r="F84" s="34">
        <v>25524000</v>
      </c>
      <c r="G84" s="34">
        <f t="shared" si="10"/>
        <v>25524000</v>
      </c>
      <c r="H84" s="34">
        <f t="shared" si="11"/>
        <v>80599000</v>
      </c>
      <c r="I84" s="41">
        <f t="shared" si="12"/>
        <v>24.051336656521208</v>
      </c>
      <c r="K84" s="190">
        <f>100*500</f>
        <v>50000</v>
      </c>
      <c r="L84" t="s">
        <v>1115</v>
      </c>
      <c r="M84" t="s">
        <v>1116</v>
      </c>
    </row>
    <row r="85" spans="1:13" ht="15">
      <c r="A85" s="33"/>
      <c r="B85" s="314" t="s">
        <v>1083</v>
      </c>
      <c r="C85" s="314"/>
      <c r="D85" s="34">
        <v>89808000</v>
      </c>
      <c r="E85" s="34">
        <v>0</v>
      </c>
      <c r="F85" s="34">
        <v>0</v>
      </c>
      <c r="G85" s="34">
        <f t="shared" si="10"/>
        <v>0</v>
      </c>
      <c r="H85" s="34">
        <f t="shared" si="11"/>
        <v>89808000</v>
      </c>
      <c r="I85" s="41"/>
      <c r="K85" s="190">
        <v>50000</v>
      </c>
      <c r="L85" t="s">
        <v>1114</v>
      </c>
      <c r="M85" t="s">
        <v>1118</v>
      </c>
    </row>
    <row r="86" spans="1:16" ht="15">
      <c r="A86" s="33">
        <v>130202</v>
      </c>
      <c r="B86" s="314" t="s">
        <v>55</v>
      </c>
      <c r="C86" s="314"/>
      <c r="D86" s="34">
        <v>117496000</v>
      </c>
      <c r="E86" s="34">
        <v>0</v>
      </c>
      <c r="F86" s="34">
        <f>4819000+4819000</f>
        <v>9638000</v>
      </c>
      <c r="G86" s="34">
        <f t="shared" si="10"/>
        <v>9638000</v>
      </c>
      <c r="H86" s="34">
        <f t="shared" si="11"/>
        <v>107858000</v>
      </c>
      <c r="I86" s="41">
        <f t="shared" si="12"/>
        <v>8.202832436848913</v>
      </c>
      <c r="K86" s="190">
        <v>50000</v>
      </c>
      <c r="L86" t="s">
        <v>1119</v>
      </c>
      <c r="M86" t="s">
        <v>1121</v>
      </c>
      <c r="P86">
        <v>16500</v>
      </c>
    </row>
    <row r="87" spans="1:16" ht="15">
      <c r="A87" s="33"/>
      <c r="B87" s="314" t="s">
        <v>56</v>
      </c>
      <c r="C87" s="314"/>
      <c r="D87" s="34">
        <v>74888000</v>
      </c>
      <c r="E87" s="34">
        <v>0</v>
      </c>
      <c r="F87" s="34">
        <v>6255000</v>
      </c>
      <c r="G87" s="34">
        <f t="shared" si="10"/>
        <v>6255000</v>
      </c>
      <c r="H87" s="34">
        <f t="shared" si="11"/>
        <v>68633000</v>
      </c>
      <c r="I87" s="41">
        <f t="shared" si="12"/>
        <v>8.35247302638607</v>
      </c>
      <c r="K87" s="190">
        <v>50000</v>
      </c>
      <c r="L87" t="s">
        <v>1122</v>
      </c>
      <c r="M87" t="s">
        <v>1123</v>
      </c>
      <c r="P87">
        <v>23000</v>
      </c>
    </row>
    <row r="88" spans="1:16" ht="15">
      <c r="A88" s="33"/>
      <c r="B88" s="314" t="s">
        <v>1081</v>
      </c>
      <c r="C88" s="314"/>
      <c r="D88" s="34">
        <v>12350000</v>
      </c>
      <c r="E88" s="34">
        <v>0</v>
      </c>
      <c r="F88" s="34">
        <v>3188000</v>
      </c>
      <c r="G88" s="34">
        <f t="shared" si="10"/>
        <v>3188000</v>
      </c>
      <c r="H88" s="34">
        <f t="shared" si="11"/>
        <v>9162000</v>
      </c>
      <c r="I88" s="41">
        <f t="shared" si="12"/>
        <v>25.81376518218623</v>
      </c>
      <c r="K88" s="190">
        <v>50000</v>
      </c>
      <c r="L88" t="s">
        <v>1124</v>
      </c>
      <c r="M88" t="s">
        <v>1125</v>
      </c>
      <c r="P88">
        <f>SUM(P86:P87)</f>
        <v>39500</v>
      </c>
    </row>
    <row r="89" spans="1:13" ht="15">
      <c r="A89" s="33"/>
      <c r="B89" s="314" t="s">
        <v>1082</v>
      </c>
      <c r="C89" s="314"/>
      <c r="D89" s="34">
        <v>6264000</v>
      </c>
      <c r="E89" s="34">
        <v>0</v>
      </c>
      <c r="F89" s="34">
        <v>0</v>
      </c>
      <c r="G89" s="34">
        <f t="shared" si="10"/>
        <v>0</v>
      </c>
      <c r="H89" s="34">
        <f t="shared" si="11"/>
        <v>6264000</v>
      </c>
      <c r="I89" s="41"/>
      <c r="K89" s="190">
        <v>50000</v>
      </c>
      <c r="L89" t="s">
        <v>1120</v>
      </c>
      <c r="M89" t="s">
        <v>1126</v>
      </c>
    </row>
    <row r="90" spans="1:13" ht="15">
      <c r="A90" s="33">
        <v>130202</v>
      </c>
      <c r="B90" s="314" t="s">
        <v>35</v>
      </c>
      <c r="C90" s="314"/>
      <c r="D90" s="34">
        <v>61721000</v>
      </c>
      <c r="E90" s="34">
        <v>0</v>
      </c>
      <c r="F90" s="34">
        <v>2571500</v>
      </c>
      <c r="G90" s="34">
        <f t="shared" si="10"/>
        <v>2571500</v>
      </c>
      <c r="H90" s="34">
        <f t="shared" si="11"/>
        <v>59149500</v>
      </c>
      <c r="I90" s="41">
        <f t="shared" si="12"/>
        <v>4.166329126229322</v>
      </c>
      <c r="K90" s="190">
        <v>50000</v>
      </c>
      <c r="L90" t="s">
        <v>1128</v>
      </c>
      <c r="M90" t="s">
        <v>1129</v>
      </c>
    </row>
    <row r="91" spans="1:16" ht="15">
      <c r="A91" s="33">
        <v>130202</v>
      </c>
      <c r="B91" s="311" t="s">
        <v>71</v>
      </c>
      <c r="C91" s="312"/>
      <c r="D91" s="71">
        <v>18000000</v>
      </c>
      <c r="E91" s="34">
        <v>0</v>
      </c>
      <c r="F91" s="34">
        <v>0</v>
      </c>
      <c r="G91" s="34">
        <f t="shared" si="10"/>
        <v>0</v>
      </c>
      <c r="H91" s="34">
        <f t="shared" si="11"/>
        <v>18000000</v>
      </c>
      <c r="I91" s="41">
        <f t="shared" si="12"/>
        <v>0</v>
      </c>
      <c r="K91" s="190">
        <v>17000</v>
      </c>
      <c r="L91" t="s">
        <v>1127</v>
      </c>
      <c r="M91" t="s">
        <v>1130</v>
      </c>
      <c r="P91">
        <f>34*500</f>
        <v>17000</v>
      </c>
    </row>
    <row r="92" spans="1:13" ht="15">
      <c r="A92" s="33">
        <v>130202</v>
      </c>
      <c r="B92" s="311" t="s">
        <v>72</v>
      </c>
      <c r="C92" s="312"/>
      <c r="D92" s="71">
        <v>18000000</v>
      </c>
      <c r="E92" s="34">
        <v>0</v>
      </c>
      <c r="F92" s="34">
        <v>0</v>
      </c>
      <c r="G92" s="34">
        <f t="shared" si="10"/>
        <v>0</v>
      </c>
      <c r="H92" s="34">
        <f t="shared" si="11"/>
        <v>18000000</v>
      </c>
      <c r="I92" s="41">
        <f t="shared" si="12"/>
        <v>0</v>
      </c>
      <c r="K92" s="190">
        <v>6500</v>
      </c>
      <c r="L92" t="s">
        <v>1117</v>
      </c>
      <c r="M92" t="s">
        <v>1131</v>
      </c>
    </row>
    <row r="93" spans="1:16" ht="15">
      <c r="A93" s="33">
        <v>130202</v>
      </c>
      <c r="B93" s="311" t="s">
        <v>73</v>
      </c>
      <c r="C93" s="312"/>
      <c r="D93" s="71">
        <v>12000000</v>
      </c>
      <c r="E93" s="34">
        <v>0</v>
      </c>
      <c r="F93" s="34">
        <v>0</v>
      </c>
      <c r="G93" s="34">
        <f t="shared" si="10"/>
        <v>0</v>
      </c>
      <c r="H93" s="34">
        <f t="shared" si="11"/>
        <v>12000000</v>
      </c>
      <c r="I93" s="41">
        <f t="shared" si="12"/>
        <v>0</v>
      </c>
      <c r="K93" s="190">
        <v>39500</v>
      </c>
      <c r="P93">
        <f>150000*4</f>
        <v>600000</v>
      </c>
    </row>
    <row r="94" spans="1:16" ht="15">
      <c r="A94" s="33">
        <v>130202</v>
      </c>
      <c r="B94" s="311" t="s">
        <v>75</v>
      </c>
      <c r="C94" s="312"/>
      <c r="D94" s="71">
        <v>12000000</v>
      </c>
      <c r="E94" s="34">
        <v>0</v>
      </c>
      <c r="F94" s="34">
        <v>0</v>
      </c>
      <c r="G94" s="34">
        <f t="shared" si="10"/>
        <v>0</v>
      </c>
      <c r="H94" s="34">
        <f t="shared" si="11"/>
        <v>12000000</v>
      </c>
      <c r="I94" s="41">
        <f t="shared" si="12"/>
        <v>0</v>
      </c>
      <c r="K94" s="190">
        <v>37000</v>
      </c>
      <c r="P94" s="190">
        <f>P93*12</f>
        <v>7200000</v>
      </c>
    </row>
    <row r="95" spans="1:12" ht="15">
      <c r="A95" s="33">
        <v>130202</v>
      </c>
      <c r="B95" s="311" t="s">
        <v>76</v>
      </c>
      <c r="C95" s="312"/>
      <c r="D95" s="71">
        <v>12000000</v>
      </c>
      <c r="E95" s="34">
        <v>0</v>
      </c>
      <c r="F95" s="34">
        <v>0</v>
      </c>
      <c r="G95" s="34">
        <f t="shared" si="10"/>
        <v>0</v>
      </c>
      <c r="H95" s="34">
        <f t="shared" si="11"/>
        <v>12000000</v>
      </c>
      <c r="I95" s="41">
        <f t="shared" si="12"/>
        <v>0</v>
      </c>
      <c r="K95" s="190">
        <f>SUM(K83:K94)</f>
        <v>503500</v>
      </c>
      <c r="L95" s="3">
        <f>K95*2</f>
        <v>1007000</v>
      </c>
    </row>
    <row r="96" spans="1:12" ht="15">
      <c r="A96" s="33">
        <v>130202</v>
      </c>
      <c r="B96" s="311" t="s">
        <v>78</v>
      </c>
      <c r="C96" s="312"/>
      <c r="D96" s="71">
        <v>12000000</v>
      </c>
      <c r="E96" s="34">
        <v>0</v>
      </c>
      <c r="F96" s="34">
        <v>0</v>
      </c>
      <c r="G96" s="34">
        <f t="shared" si="10"/>
        <v>0</v>
      </c>
      <c r="H96" s="34">
        <f t="shared" si="11"/>
        <v>12000000</v>
      </c>
      <c r="I96" s="41">
        <f t="shared" si="12"/>
        <v>0</v>
      </c>
      <c r="K96" s="190">
        <f>K95*10%</f>
        <v>50350</v>
      </c>
      <c r="L96" s="3">
        <f>L95*12</f>
        <v>12084000</v>
      </c>
    </row>
    <row r="97" spans="1:11" ht="15">
      <c r="A97" s="33">
        <v>130202</v>
      </c>
      <c r="B97" s="311" t="s">
        <v>77</v>
      </c>
      <c r="C97" s="312"/>
      <c r="D97" s="71">
        <v>12000000</v>
      </c>
      <c r="E97" s="34">
        <v>0</v>
      </c>
      <c r="F97" s="34">
        <v>0</v>
      </c>
      <c r="G97" s="34">
        <f t="shared" si="10"/>
        <v>0</v>
      </c>
      <c r="H97" s="34">
        <f t="shared" si="11"/>
        <v>12000000</v>
      </c>
      <c r="I97" s="41">
        <f t="shared" si="12"/>
        <v>0</v>
      </c>
      <c r="K97" s="146">
        <f>K95-K96</f>
        <v>453150</v>
      </c>
    </row>
    <row r="98" spans="1:12" ht="15">
      <c r="A98" s="33">
        <v>130202</v>
      </c>
      <c r="B98" s="311" t="s">
        <v>74</v>
      </c>
      <c r="C98" s="312"/>
      <c r="D98" s="71">
        <v>12000000</v>
      </c>
      <c r="E98" s="34">
        <v>0</v>
      </c>
      <c r="F98" s="34">
        <v>0</v>
      </c>
      <c r="G98" s="34">
        <f t="shared" si="10"/>
        <v>0</v>
      </c>
      <c r="H98" s="34">
        <f t="shared" si="11"/>
        <v>12000000</v>
      </c>
      <c r="I98" s="41">
        <f t="shared" si="12"/>
        <v>0</v>
      </c>
      <c r="K98" s="184">
        <f>K97-420000</f>
        <v>33150</v>
      </c>
      <c r="L98" s="194" t="s">
        <v>1140</v>
      </c>
    </row>
    <row r="99" spans="1:9" ht="15.75" thickBot="1">
      <c r="A99" s="50"/>
      <c r="B99" s="328" t="s">
        <v>36</v>
      </c>
      <c r="C99" s="328"/>
      <c r="D99" s="42">
        <f>SUM(D77:D98)</f>
        <v>1394853800</v>
      </c>
      <c r="E99" s="42">
        <f>SUM(E77:E97)</f>
        <v>0</v>
      </c>
      <c r="F99" s="42">
        <f>SUM(F77:F97)</f>
        <v>165900000</v>
      </c>
      <c r="G99" s="44">
        <f t="shared" si="10"/>
        <v>165900000</v>
      </c>
      <c r="H99" s="44">
        <f t="shared" si="11"/>
        <v>1228953800</v>
      </c>
      <c r="I99" s="45">
        <f t="shared" si="12"/>
        <v>11.893719614198993</v>
      </c>
    </row>
    <row r="100" spans="1:11" s="1" customFormat="1" ht="15.75" thickTop="1">
      <c r="A100" s="9"/>
      <c r="B100" s="70"/>
      <c r="C100" s="70"/>
      <c r="D100" s="20"/>
      <c r="E100" s="20"/>
      <c r="F100" s="23" t="s">
        <v>66</v>
      </c>
      <c r="G100" s="25"/>
      <c r="H100" s="20"/>
      <c r="I100" s="30"/>
      <c r="K100" s="192"/>
    </row>
    <row r="101" spans="1:9" ht="15">
      <c r="A101" s="2"/>
      <c r="B101" s="329" t="s">
        <v>37</v>
      </c>
      <c r="C101" s="329"/>
      <c r="D101" s="17"/>
      <c r="E101" s="17"/>
      <c r="F101" s="17"/>
      <c r="G101" s="17"/>
      <c r="H101" s="17"/>
      <c r="I101" s="31"/>
    </row>
    <row r="102" spans="1:9" ht="15">
      <c r="A102" s="33">
        <v>130101</v>
      </c>
      <c r="B102" s="314" t="s">
        <v>1072</v>
      </c>
      <c r="C102" s="314"/>
      <c r="D102" s="34">
        <v>1936396941.38</v>
      </c>
      <c r="E102" s="34">
        <v>0</v>
      </c>
      <c r="F102" s="34">
        <v>0</v>
      </c>
      <c r="G102" s="34">
        <f>E102+F102</f>
        <v>0</v>
      </c>
      <c r="H102" s="34">
        <f aca="true" t="shared" si="13" ref="H102:H110">D102-G102</f>
        <v>1936396941.38</v>
      </c>
      <c r="I102" s="36">
        <f aca="true" t="shared" si="14" ref="I102:I110">G102/D102*100</f>
        <v>0</v>
      </c>
    </row>
    <row r="103" spans="1:9" ht="15">
      <c r="A103" s="33">
        <v>130103</v>
      </c>
      <c r="B103" s="314" t="s">
        <v>38</v>
      </c>
      <c r="C103" s="314"/>
      <c r="D103" s="34">
        <v>32713000</v>
      </c>
      <c r="E103" s="34">
        <v>0</v>
      </c>
      <c r="F103" s="35">
        <v>0</v>
      </c>
      <c r="G103" s="34">
        <f aca="true" t="shared" si="15" ref="G103:G110">E103+F103</f>
        <v>0</v>
      </c>
      <c r="H103" s="34">
        <f t="shared" si="13"/>
        <v>32713000</v>
      </c>
      <c r="I103" s="36">
        <f t="shared" si="14"/>
        <v>0</v>
      </c>
    </row>
    <row r="104" spans="1:11" ht="15">
      <c r="A104" s="33">
        <v>130113</v>
      </c>
      <c r="B104" s="314" t="s">
        <v>39</v>
      </c>
      <c r="C104" s="314"/>
      <c r="D104" s="34">
        <v>906551095</v>
      </c>
      <c r="E104" s="34">
        <v>0</v>
      </c>
      <c r="F104" s="34">
        <v>0</v>
      </c>
      <c r="G104" s="34">
        <f t="shared" si="15"/>
        <v>0</v>
      </c>
      <c r="H104" s="34">
        <f t="shared" si="13"/>
        <v>906551095</v>
      </c>
      <c r="I104" s="36">
        <f t="shared" si="14"/>
        <v>0</v>
      </c>
      <c r="K104" s="146"/>
    </row>
    <row r="105" spans="1:11" ht="15">
      <c r="A105" s="33">
        <v>130114</v>
      </c>
      <c r="B105" s="314" t="s">
        <v>40</v>
      </c>
      <c r="C105" s="314"/>
      <c r="D105" s="34">
        <v>215780500</v>
      </c>
      <c r="E105" s="34">
        <v>0</v>
      </c>
      <c r="F105" s="34">
        <v>0</v>
      </c>
      <c r="G105" s="34">
        <f t="shared" si="15"/>
        <v>0</v>
      </c>
      <c r="H105" s="34">
        <f t="shared" si="13"/>
        <v>215780500</v>
      </c>
      <c r="I105" s="36">
        <f t="shared" si="14"/>
        <v>0</v>
      </c>
      <c r="K105" s="146"/>
    </row>
    <row r="106" spans="1:11" ht="15">
      <c r="A106" s="33">
        <v>130120</v>
      </c>
      <c r="B106" s="314" t="s">
        <v>1073</v>
      </c>
      <c r="C106" s="314"/>
      <c r="D106" s="34">
        <v>585700000</v>
      </c>
      <c r="E106" s="34">
        <v>0</v>
      </c>
      <c r="F106" s="37">
        <v>0</v>
      </c>
      <c r="G106" s="34">
        <f t="shared" si="15"/>
        <v>0</v>
      </c>
      <c r="H106" s="34">
        <f t="shared" si="13"/>
        <v>585700000</v>
      </c>
      <c r="I106" s="36">
        <f t="shared" si="14"/>
        <v>0</v>
      </c>
      <c r="K106" s="146"/>
    </row>
    <row r="107" spans="1:11" ht="15">
      <c r="A107" s="33"/>
      <c r="B107" s="331" t="s">
        <v>80</v>
      </c>
      <c r="C107" s="331"/>
      <c r="D107" s="34">
        <v>16840000</v>
      </c>
      <c r="E107" s="34">
        <v>0</v>
      </c>
      <c r="F107" s="35">
        <v>0</v>
      </c>
      <c r="G107" s="34">
        <f t="shared" si="15"/>
        <v>0</v>
      </c>
      <c r="H107" s="34">
        <f t="shared" si="13"/>
        <v>16840000</v>
      </c>
      <c r="I107" s="36">
        <f t="shared" si="14"/>
        <v>0</v>
      </c>
      <c r="K107" s="146"/>
    </row>
    <row r="108" spans="1:9" ht="15">
      <c r="A108" s="33">
        <v>130123</v>
      </c>
      <c r="B108" s="314" t="s">
        <v>41</v>
      </c>
      <c r="C108" s="314"/>
      <c r="D108" s="34">
        <v>348117000</v>
      </c>
      <c r="E108" s="34">
        <v>0</v>
      </c>
      <c r="F108" s="34">
        <v>0</v>
      </c>
      <c r="G108" s="34">
        <f>E108+F108</f>
        <v>0</v>
      </c>
      <c r="H108" s="34">
        <f>D108-G108</f>
        <v>348117000</v>
      </c>
      <c r="I108" s="41">
        <f>G108/D108*100</f>
        <v>0</v>
      </c>
    </row>
    <row r="109" spans="1:9" ht="15">
      <c r="A109" s="27"/>
      <c r="B109" s="330" t="s">
        <v>42</v>
      </c>
      <c r="C109" s="330"/>
      <c r="D109" s="32">
        <f>SUM(D102:D108)</f>
        <v>4042098536.38</v>
      </c>
      <c r="E109" s="38">
        <f>SUM(E102:E108)</f>
        <v>0</v>
      </c>
      <c r="F109" s="38">
        <f>SUM(F102:F108)</f>
        <v>0</v>
      </c>
      <c r="G109" s="39">
        <f t="shared" si="15"/>
        <v>0</v>
      </c>
      <c r="H109" s="39">
        <f t="shared" si="13"/>
        <v>4042098536.38</v>
      </c>
      <c r="I109" s="36">
        <f t="shared" si="14"/>
        <v>0</v>
      </c>
    </row>
    <row r="110" spans="1:9" ht="15.75" thickBot="1">
      <c r="A110" s="2"/>
      <c r="B110" s="328" t="s">
        <v>43</v>
      </c>
      <c r="C110" s="328"/>
      <c r="D110" s="155">
        <f>D61+D72+D99+D109</f>
        <v>22731740736.38</v>
      </c>
      <c r="E110" s="155">
        <f>E61+E72+E99+E109</f>
        <v>0</v>
      </c>
      <c r="F110" s="155">
        <f>F61+F72+F99+F109</f>
        <v>942202234.4100001</v>
      </c>
      <c r="G110" s="44">
        <f t="shared" si="15"/>
        <v>942202234.4100001</v>
      </c>
      <c r="H110" s="44">
        <f t="shared" si="13"/>
        <v>21789538501.97</v>
      </c>
      <c r="I110" s="157">
        <f t="shared" si="14"/>
        <v>4.144874980480903</v>
      </c>
    </row>
    <row r="111" spans="1:9" ht="15.75" thickTop="1">
      <c r="A111" s="2"/>
      <c r="B111" s="16"/>
      <c r="C111" s="16"/>
      <c r="D111" s="14"/>
      <c r="E111" s="14"/>
      <c r="F111" s="14"/>
      <c r="G111" s="14"/>
      <c r="H111" s="14"/>
      <c r="I111" s="15"/>
    </row>
    <row r="112" spans="1:9" ht="15">
      <c r="A112" s="2"/>
      <c r="B112" s="16"/>
      <c r="C112" s="16"/>
      <c r="D112" s="14"/>
      <c r="E112" s="14"/>
      <c r="F112" s="14"/>
      <c r="G112" s="14"/>
      <c r="H112" s="14"/>
      <c r="I112" s="15"/>
    </row>
    <row r="113" spans="1:9" ht="15">
      <c r="A113" s="2"/>
      <c r="B113" s="16"/>
      <c r="C113" s="16"/>
      <c r="D113" s="14"/>
      <c r="E113" s="14"/>
      <c r="F113" s="14"/>
      <c r="G113" s="14"/>
      <c r="H113" s="14"/>
      <c r="I113" s="15"/>
    </row>
    <row r="114" spans="1:9" ht="15">
      <c r="A114" s="2"/>
      <c r="B114" s="16"/>
      <c r="C114" s="16"/>
      <c r="D114" s="14"/>
      <c r="F114" s="14"/>
      <c r="G114" s="14"/>
      <c r="H114" s="14"/>
      <c r="I114" s="15"/>
    </row>
    <row r="115" spans="2:9" ht="15">
      <c r="B115" s="16"/>
      <c r="C115" s="16" t="s">
        <v>53</v>
      </c>
      <c r="E115" s="147"/>
      <c r="F115" s="14"/>
      <c r="G115" s="14"/>
      <c r="H115" s="14"/>
      <c r="I115" s="15"/>
    </row>
    <row r="116" spans="2:8" ht="15">
      <c r="B116" s="69"/>
      <c r="C116" s="69"/>
      <c r="E116" s="147"/>
      <c r="F116" s="11"/>
      <c r="G116" s="11"/>
      <c r="H116" s="11"/>
    </row>
    <row r="117" spans="2:8" ht="15">
      <c r="B117" s="69"/>
      <c r="C117" s="69"/>
      <c r="D117" s="11"/>
      <c r="E117" s="11"/>
      <c r="F117" s="11"/>
      <c r="G117" s="11"/>
      <c r="H117" s="11"/>
    </row>
    <row r="118" spans="2:8" ht="15">
      <c r="B118" s="69"/>
      <c r="C118" s="69"/>
      <c r="D118" s="11"/>
      <c r="E118" s="11"/>
      <c r="F118" s="11"/>
      <c r="G118" s="11"/>
      <c r="H118" s="11"/>
    </row>
    <row r="119" spans="2:8" ht="15">
      <c r="B119" s="69"/>
      <c r="C119" s="69"/>
      <c r="D119" s="11"/>
      <c r="E119" s="11"/>
      <c r="F119" s="11"/>
      <c r="G119" s="11"/>
      <c r="H119" s="11"/>
    </row>
    <row r="120" spans="2:8" ht="15">
      <c r="B120" s="69"/>
      <c r="C120" s="69"/>
      <c r="D120" s="11"/>
      <c r="E120" s="11"/>
      <c r="F120" s="11"/>
      <c r="G120" s="11"/>
      <c r="H120" s="11"/>
    </row>
    <row r="121" spans="2:8" ht="15">
      <c r="B121" s="69"/>
      <c r="C121" s="69"/>
      <c r="D121" s="11"/>
      <c r="E121" s="11"/>
      <c r="F121" s="11"/>
      <c r="G121" s="11"/>
      <c r="H121" s="11"/>
    </row>
    <row r="122" spans="2:8" ht="15">
      <c r="B122" s="69"/>
      <c r="C122" s="69"/>
      <c r="D122" s="11"/>
      <c r="E122" s="11"/>
      <c r="F122" s="11"/>
      <c r="G122" s="11"/>
      <c r="H122" s="11"/>
    </row>
    <row r="123" spans="2:8" ht="15">
      <c r="B123" s="69"/>
      <c r="C123" s="69"/>
      <c r="D123" s="11"/>
      <c r="E123" s="11"/>
      <c r="F123" s="11"/>
      <c r="G123" s="11"/>
      <c r="H123" s="11"/>
    </row>
    <row r="124" spans="2:8" ht="15">
      <c r="B124" s="69"/>
      <c r="C124" s="69"/>
      <c r="D124" s="11"/>
      <c r="E124" s="11"/>
      <c r="F124" s="11"/>
      <c r="G124" s="11"/>
      <c r="H124" s="11"/>
    </row>
    <row r="125" spans="2:8" ht="15">
      <c r="B125" s="69"/>
      <c r="C125" s="69"/>
      <c r="D125" s="11"/>
      <c r="E125" s="11"/>
      <c r="F125" s="11"/>
      <c r="G125" s="11"/>
      <c r="H125" s="11"/>
    </row>
    <row r="126" spans="2:8" ht="15">
      <c r="B126" s="69"/>
      <c r="C126" s="69"/>
      <c r="D126" s="11"/>
      <c r="E126" s="11"/>
      <c r="F126" s="11"/>
      <c r="G126" s="11"/>
      <c r="H126" s="11"/>
    </row>
    <row r="127" spans="2:8" ht="15">
      <c r="B127" s="69"/>
      <c r="C127" s="69"/>
      <c r="D127" s="11"/>
      <c r="E127" s="11"/>
      <c r="F127" s="11"/>
      <c r="G127" s="11"/>
      <c r="H127" s="11"/>
    </row>
    <row r="128" spans="2:8" ht="15">
      <c r="B128" s="69"/>
      <c r="C128" s="69"/>
      <c r="D128" s="11"/>
      <c r="E128" s="11"/>
      <c r="F128" s="11"/>
      <c r="G128" s="11"/>
      <c r="H128" s="11"/>
    </row>
    <row r="129" spans="2:8" ht="15">
      <c r="B129" s="69"/>
      <c r="C129" s="69"/>
      <c r="D129" s="11"/>
      <c r="E129" s="11"/>
      <c r="F129" s="11"/>
      <c r="G129" s="11"/>
      <c r="H129" s="11"/>
    </row>
    <row r="130" spans="2:8" ht="15">
      <c r="B130" s="69"/>
      <c r="C130" s="69"/>
      <c r="D130" s="11"/>
      <c r="E130" s="11"/>
      <c r="F130" s="11"/>
      <c r="G130" s="11"/>
      <c r="H130" s="11"/>
    </row>
    <row r="131" spans="2:8" ht="15">
      <c r="B131" s="69"/>
      <c r="C131" s="69"/>
      <c r="D131" s="11"/>
      <c r="E131" s="11"/>
      <c r="F131" s="11"/>
      <c r="G131" s="11"/>
      <c r="H131" s="11"/>
    </row>
    <row r="132" spans="2:8" ht="15">
      <c r="B132" s="69"/>
      <c r="C132" s="69"/>
      <c r="D132" s="11"/>
      <c r="E132" s="11"/>
      <c r="F132" s="11"/>
      <c r="G132" s="11"/>
      <c r="H132" s="11"/>
    </row>
    <row r="133" spans="2:8" ht="15">
      <c r="B133" s="69"/>
      <c r="C133" s="69"/>
      <c r="D133" s="11"/>
      <c r="E133" s="11"/>
      <c r="F133" s="11"/>
      <c r="G133" s="11"/>
      <c r="H133" s="11"/>
    </row>
    <row r="134" spans="2:8" ht="15">
      <c r="B134" s="69"/>
      <c r="C134" s="69"/>
      <c r="D134" s="11"/>
      <c r="E134" s="11"/>
      <c r="F134" s="11"/>
      <c r="G134" s="11"/>
      <c r="H134" s="11"/>
    </row>
    <row r="135" spans="2:8" ht="15">
      <c r="B135" s="69"/>
      <c r="C135" s="69"/>
      <c r="D135" s="11"/>
      <c r="E135" s="11"/>
      <c r="F135" s="11"/>
      <c r="G135" s="11"/>
      <c r="H135" s="11"/>
    </row>
    <row r="136" spans="2:8" ht="15">
      <c r="B136" s="69"/>
      <c r="C136" s="69"/>
      <c r="D136" s="11"/>
      <c r="E136" s="11"/>
      <c r="F136" s="11"/>
      <c r="G136" s="11"/>
      <c r="H136" s="11"/>
    </row>
    <row r="137" spans="2:8" ht="15">
      <c r="B137" s="69"/>
      <c r="C137" s="69"/>
      <c r="D137" s="11"/>
      <c r="E137" s="11"/>
      <c r="F137" s="11"/>
      <c r="G137" s="11"/>
      <c r="H137" s="11"/>
    </row>
    <row r="138" spans="2:8" ht="15">
      <c r="B138" s="69"/>
      <c r="C138" s="69"/>
      <c r="D138" s="11"/>
      <c r="E138" s="11"/>
      <c r="F138" s="11"/>
      <c r="G138" s="11"/>
      <c r="H138" s="11"/>
    </row>
    <row r="139" spans="2:8" ht="15">
      <c r="B139" s="69"/>
      <c r="C139" s="69"/>
      <c r="D139" s="11"/>
      <c r="E139" s="11"/>
      <c r="F139" s="11"/>
      <c r="G139" s="11"/>
      <c r="H139" s="11"/>
    </row>
    <row r="140" spans="2:8" ht="15">
      <c r="B140" s="69"/>
      <c r="C140" s="69"/>
      <c r="D140" s="11"/>
      <c r="E140" s="11"/>
      <c r="F140" s="11"/>
      <c r="G140" s="11"/>
      <c r="H140" s="11"/>
    </row>
    <row r="141" spans="2:8" ht="15">
      <c r="B141" s="69"/>
      <c r="C141" s="69"/>
      <c r="D141" s="11"/>
      <c r="E141" s="11"/>
      <c r="F141" s="11"/>
      <c r="G141" s="11"/>
      <c r="H141" s="11"/>
    </row>
    <row r="142" spans="2:8" ht="15">
      <c r="B142" s="69"/>
      <c r="C142" s="69"/>
      <c r="D142" s="11"/>
      <c r="E142" s="11"/>
      <c r="F142" s="11"/>
      <c r="G142" s="11"/>
      <c r="H142" s="11"/>
    </row>
    <row r="143" spans="2:8" ht="15">
      <c r="B143" s="69"/>
      <c r="C143" s="69"/>
      <c r="D143" s="11"/>
      <c r="E143" s="11"/>
      <c r="F143" s="11"/>
      <c r="G143" s="11"/>
      <c r="H143" s="11"/>
    </row>
    <row r="144" spans="2:8" ht="15">
      <c r="B144" s="69"/>
      <c r="C144" s="69"/>
      <c r="D144" s="11"/>
      <c r="E144" s="11"/>
      <c r="F144" s="11"/>
      <c r="G144" s="11"/>
      <c r="H144" s="11"/>
    </row>
    <row r="145" spans="2:8" ht="15">
      <c r="B145" s="69"/>
      <c r="C145" s="69"/>
      <c r="D145" s="11"/>
      <c r="E145" s="11"/>
      <c r="F145" s="11"/>
      <c r="G145" s="11"/>
      <c r="H145" s="11"/>
    </row>
    <row r="146" spans="2:8" ht="15">
      <c r="B146" s="69"/>
      <c r="C146" s="69"/>
      <c r="D146" s="11"/>
      <c r="E146" s="11"/>
      <c r="F146" s="11"/>
      <c r="G146" s="11"/>
      <c r="H146" s="11"/>
    </row>
    <row r="147" spans="2:8" ht="15">
      <c r="B147" s="69"/>
      <c r="C147" s="69"/>
      <c r="D147" s="11"/>
      <c r="E147" s="11"/>
      <c r="F147" s="11"/>
      <c r="G147" s="11"/>
      <c r="H147" s="11"/>
    </row>
    <row r="148" spans="2:8" ht="15">
      <c r="B148" s="69"/>
      <c r="C148" s="69"/>
      <c r="D148" s="12"/>
      <c r="E148" s="11"/>
      <c r="F148" s="11"/>
      <c r="G148" s="11"/>
      <c r="H148" s="11"/>
    </row>
    <row r="149" spans="2:8" ht="15">
      <c r="B149" s="69"/>
      <c r="C149" s="69"/>
      <c r="D149" s="12"/>
      <c r="E149" s="11"/>
      <c r="F149" s="11"/>
      <c r="G149" s="11"/>
      <c r="H149" s="11"/>
    </row>
    <row r="150" spans="2:8" ht="15">
      <c r="B150" s="69"/>
      <c r="C150" s="69"/>
      <c r="D150" s="12"/>
      <c r="E150" s="11"/>
      <c r="F150" s="11"/>
      <c r="G150" s="11"/>
      <c r="H150" s="11"/>
    </row>
    <row r="151" spans="2:8" ht="15">
      <c r="B151" s="69"/>
      <c r="C151" s="69"/>
      <c r="D151" s="12"/>
      <c r="E151" s="11"/>
      <c r="F151" s="11"/>
      <c r="G151" s="11"/>
      <c r="H151" s="11"/>
    </row>
    <row r="152" spans="2:8" ht="15">
      <c r="B152" s="69"/>
      <c r="C152" s="69"/>
      <c r="D152" s="12"/>
      <c r="E152" s="11"/>
      <c r="F152" s="11"/>
      <c r="G152" s="11"/>
      <c r="H152" s="11"/>
    </row>
    <row r="153" spans="2:8" ht="15">
      <c r="B153" s="69"/>
      <c r="C153" s="69"/>
      <c r="D153" s="12"/>
      <c r="E153" s="11"/>
      <c r="F153" s="11"/>
      <c r="G153" s="11"/>
      <c r="H153" s="11"/>
    </row>
    <row r="154" spans="2:8" ht="15">
      <c r="B154" s="69"/>
      <c r="C154" s="69"/>
      <c r="D154" s="12"/>
      <c r="E154" s="11"/>
      <c r="F154" s="11"/>
      <c r="G154" s="11"/>
      <c r="H154" s="11"/>
    </row>
    <row r="155" spans="2:8" ht="15">
      <c r="B155" s="69"/>
      <c r="C155" s="69"/>
      <c r="D155" s="12"/>
      <c r="E155" s="11"/>
      <c r="F155" s="11"/>
      <c r="G155" s="11"/>
      <c r="H155" s="11"/>
    </row>
    <row r="156" spans="2:8" ht="15">
      <c r="B156" s="69"/>
      <c r="C156" s="69"/>
      <c r="D156" s="12"/>
      <c r="E156" s="11"/>
      <c r="F156" s="11"/>
      <c r="G156" s="11"/>
      <c r="H156" s="11"/>
    </row>
    <row r="157" spans="2:8" ht="15">
      <c r="B157" s="69"/>
      <c r="C157" s="69"/>
      <c r="D157" s="12"/>
      <c r="E157" s="11"/>
      <c r="F157" s="11"/>
      <c r="G157" s="11"/>
      <c r="H157" s="11"/>
    </row>
    <row r="158" spans="2:8" ht="15">
      <c r="B158" s="69"/>
      <c r="C158" s="69"/>
      <c r="D158" s="12"/>
      <c r="E158" s="11"/>
      <c r="F158" s="11"/>
      <c r="G158" s="11"/>
      <c r="H158" s="11"/>
    </row>
    <row r="159" spans="2:8" ht="15">
      <c r="B159" s="69"/>
      <c r="C159" s="69"/>
      <c r="D159" s="12"/>
      <c r="E159" s="11"/>
      <c r="F159" s="11"/>
      <c r="G159" s="11"/>
      <c r="H159" s="11"/>
    </row>
    <row r="160" spans="2:8" ht="15">
      <c r="B160" s="69"/>
      <c r="C160" s="69"/>
      <c r="D160" s="12"/>
      <c r="E160" s="11"/>
      <c r="F160" s="11"/>
      <c r="G160" s="11"/>
      <c r="H160" s="11"/>
    </row>
    <row r="161" spans="2:8" ht="15">
      <c r="B161" s="69"/>
      <c r="C161" s="69"/>
      <c r="D161" s="12"/>
      <c r="E161" s="11"/>
      <c r="F161" s="11"/>
      <c r="G161" s="11"/>
      <c r="H161" s="11"/>
    </row>
    <row r="162" spans="2:8" ht="15">
      <c r="B162" s="69"/>
      <c r="C162" s="69"/>
      <c r="D162" s="12"/>
      <c r="E162" s="11"/>
      <c r="F162" s="11"/>
      <c r="G162" s="11"/>
      <c r="H162" s="11"/>
    </row>
    <row r="163" spans="2:8" ht="15">
      <c r="B163" s="69"/>
      <c r="C163" s="69"/>
      <c r="D163" s="12"/>
      <c r="E163" s="11"/>
      <c r="F163" s="11"/>
      <c r="G163" s="11"/>
      <c r="H163" s="11"/>
    </row>
    <row r="164" spans="2:8" ht="15">
      <c r="B164" s="69"/>
      <c r="C164" s="69"/>
      <c r="D164" s="12"/>
      <c r="E164" s="11"/>
      <c r="F164" s="11"/>
      <c r="G164" s="11"/>
      <c r="H164" s="11"/>
    </row>
    <row r="165" spans="2:8" ht="15">
      <c r="B165" s="69"/>
      <c r="C165" s="69"/>
      <c r="D165" s="12"/>
      <c r="E165" s="11"/>
      <c r="F165" s="11"/>
      <c r="G165" s="11"/>
      <c r="H165" s="11"/>
    </row>
    <row r="166" spans="2:8" ht="15">
      <c r="B166" s="69"/>
      <c r="C166" s="69"/>
      <c r="D166" s="12"/>
      <c r="E166" s="11"/>
      <c r="F166" s="11"/>
      <c r="G166" s="11"/>
      <c r="H166" s="11"/>
    </row>
  </sheetData>
  <sheetProtection/>
  <mergeCells count="102">
    <mergeCell ref="B102:C102"/>
    <mergeCell ref="B103:C103"/>
    <mergeCell ref="B104:C104"/>
    <mergeCell ref="B99:C99"/>
    <mergeCell ref="B73:C73"/>
    <mergeCell ref="B101:C101"/>
    <mergeCell ref="B77:C77"/>
    <mergeCell ref="B82:C82"/>
    <mergeCell ref="B108:C108"/>
    <mergeCell ref="B87:C87"/>
    <mergeCell ref="B90:C90"/>
    <mergeCell ref="B91:C91"/>
    <mergeCell ref="B92:C92"/>
    <mergeCell ref="B48:C48"/>
    <mergeCell ref="B49:C49"/>
    <mergeCell ref="B51:C51"/>
    <mergeCell ref="B80:C80"/>
    <mergeCell ref="B81:C81"/>
    <mergeCell ref="B109:C109"/>
    <mergeCell ref="B110:C110"/>
    <mergeCell ref="B106:C106"/>
    <mergeCell ref="B107:C107"/>
    <mergeCell ref="B64:C64"/>
    <mergeCell ref="B65:C65"/>
    <mergeCell ref="B66:C66"/>
    <mergeCell ref="B84:C84"/>
    <mergeCell ref="B72:C72"/>
    <mergeCell ref="B79:C79"/>
    <mergeCell ref="B38:C38"/>
    <mergeCell ref="B39:C39"/>
    <mergeCell ref="B40:C40"/>
    <mergeCell ref="B41:C41"/>
    <mergeCell ref="B46:C46"/>
    <mergeCell ref="B47:C47"/>
    <mergeCell ref="B35:C35"/>
    <mergeCell ref="B36:C36"/>
    <mergeCell ref="B37:C37"/>
    <mergeCell ref="B105:C105"/>
    <mergeCell ref="B93:C93"/>
    <mergeCell ref="B94:C94"/>
    <mergeCell ref="B95:C95"/>
    <mergeCell ref="B96:C96"/>
    <mergeCell ref="B97:C97"/>
    <mergeCell ref="B98:C98"/>
    <mergeCell ref="B28:C28"/>
    <mergeCell ref="B29:C29"/>
    <mergeCell ref="B30:C30"/>
    <mergeCell ref="B32:C32"/>
    <mergeCell ref="B33:C33"/>
    <mergeCell ref="B34:C34"/>
    <mergeCell ref="B15:C15"/>
    <mergeCell ref="B17:C17"/>
    <mergeCell ref="B18:C18"/>
    <mergeCell ref="B19:C19"/>
    <mergeCell ref="B20:C20"/>
    <mergeCell ref="B21:C21"/>
    <mergeCell ref="B23:C23"/>
    <mergeCell ref="B24:C24"/>
    <mergeCell ref="B25:C25"/>
    <mergeCell ref="B14:C14"/>
    <mergeCell ref="B7:C7"/>
    <mergeCell ref="B8:C8"/>
    <mergeCell ref="B9:C9"/>
    <mergeCell ref="B10:C10"/>
    <mergeCell ref="B11:C11"/>
    <mergeCell ref="B12:C12"/>
    <mergeCell ref="F3:F4"/>
    <mergeCell ref="G3:G4"/>
    <mergeCell ref="H3:H4"/>
    <mergeCell ref="I3:I4"/>
    <mergeCell ref="B5:C5"/>
    <mergeCell ref="B6:C6"/>
    <mergeCell ref="A63:C63"/>
    <mergeCell ref="B67:C67"/>
    <mergeCell ref="B68:C68"/>
    <mergeCell ref="A1:I1"/>
    <mergeCell ref="A2:I2"/>
    <mergeCell ref="A3:A4"/>
    <mergeCell ref="B3:C4"/>
    <mergeCell ref="D3:D4"/>
    <mergeCell ref="E3:E4"/>
    <mergeCell ref="B13:C13"/>
    <mergeCell ref="K82:M82"/>
    <mergeCell ref="K67:M67"/>
    <mergeCell ref="B88:C88"/>
    <mergeCell ref="B89:C89"/>
    <mergeCell ref="B85:C85"/>
    <mergeCell ref="B83:C83"/>
    <mergeCell ref="B76:C76"/>
    <mergeCell ref="B78:C78"/>
    <mergeCell ref="B70:C70"/>
    <mergeCell ref="B71:C71"/>
    <mergeCell ref="D53:I53"/>
    <mergeCell ref="B54:C54"/>
    <mergeCell ref="B56:C56"/>
    <mergeCell ref="B57:C57"/>
    <mergeCell ref="B86:C86"/>
    <mergeCell ref="B69:C69"/>
    <mergeCell ref="B62:C62"/>
    <mergeCell ref="B58:C58"/>
    <mergeCell ref="B60:C60"/>
    <mergeCell ref="B61:C61"/>
  </mergeCells>
  <printOptions/>
  <pageMargins left="0.7" right="0.7" top="0.75" bottom="0.75" header="0.3" footer="0.3"/>
  <pageSetup firstPageNumber="3" useFirstPageNumber="1" horizontalDpi="180" verticalDpi="180" orientation="landscape" scale="75" r:id="rId3"/>
  <headerFooter alignWithMargins="0"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6"/>
  <sheetViews>
    <sheetView zoomScalePageLayoutView="0" workbookViewId="0" topLeftCell="A52">
      <selection activeCell="A1" sqref="A1:IV16384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2.8515625" style="1" customWidth="1"/>
    <col min="5" max="5" width="22.28125" style="1" customWidth="1"/>
    <col min="6" max="6" width="18.7109375" style="1" customWidth="1"/>
    <col min="7" max="7" width="18.57421875" style="0" customWidth="1"/>
    <col min="8" max="8" width="18.7109375" style="0" customWidth="1"/>
    <col min="9" max="9" width="7.851562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1214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1188</v>
      </c>
      <c r="E4" s="324" t="s">
        <v>1221</v>
      </c>
      <c r="F4" s="326" t="s">
        <v>1219</v>
      </c>
      <c r="G4" s="324" t="s">
        <v>1220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0</v>
      </c>
      <c r="F7" s="207">
        <v>122770070.04</v>
      </c>
      <c r="G7" s="60">
        <f aca="true" t="shared" si="0" ref="G7:G18">+E7+F7</f>
        <v>122770070.04</v>
      </c>
      <c r="H7" s="34">
        <f>+D7-G7</f>
        <v>1977229929.96</v>
      </c>
      <c r="I7" s="201">
        <f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2978029.63</v>
      </c>
      <c r="F8" s="207">
        <v>0</v>
      </c>
      <c r="G8" s="60">
        <f t="shared" si="0"/>
        <v>2978029.63</v>
      </c>
      <c r="H8" s="34">
        <f aca="true" t="shared" si="1" ref="H8:H18">+D8-G8</f>
        <v>997021970.37</v>
      </c>
      <c r="I8" s="201">
        <f aca="true" t="shared" si="2" ref="I8:I18">+G8/D8*100</f>
        <v>0.297802963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/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2300000</v>
      </c>
      <c r="F10" s="66">
        <v>1245500</v>
      </c>
      <c r="G10" s="60">
        <f t="shared" si="0"/>
        <v>3545500</v>
      </c>
      <c r="H10" s="34">
        <f t="shared" si="1"/>
        <v>62694500</v>
      </c>
      <c r="I10" s="201">
        <f t="shared" si="2"/>
        <v>5.352506038647343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/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1" t="s">
        <v>1215</v>
      </c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/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2252000</v>
      </c>
      <c r="F13" s="207">
        <f>2042400-1000000</f>
        <v>1042400</v>
      </c>
      <c r="G13" s="60">
        <f t="shared" si="0"/>
        <v>3294400</v>
      </c>
      <c r="H13" s="34">
        <f t="shared" si="1"/>
        <v>92129600</v>
      </c>
      <c r="I13" s="201">
        <f t="shared" si="2"/>
        <v>3.4523809523809526</v>
      </c>
      <c r="J13" s="221"/>
      <c r="K13" s="1"/>
    </row>
    <row r="14" spans="1:11" ht="15">
      <c r="A14" s="46">
        <v>11310104</v>
      </c>
      <c r="B14" s="254" t="s">
        <v>1196</v>
      </c>
      <c r="C14" s="252"/>
      <c r="D14" s="71">
        <v>195000000</v>
      </c>
      <c r="E14" s="34">
        <v>200000</v>
      </c>
      <c r="F14" s="207">
        <v>0</v>
      </c>
      <c r="G14" s="60">
        <f t="shared" si="0"/>
        <v>200000</v>
      </c>
      <c r="H14" s="34">
        <f t="shared" si="1"/>
        <v>194800000</v>
      </c>
      <c r="I14" s="201">
        <f t="shared" si="2"/>
        <v>0.10256410256410256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v>12679639.54</v>
      </c>
      <c r="F15" s="207">
        <f>1505525.8+600000</f>
        <v>2105525.8</v>
      </c>
      <c r="G15" s="60">
        <f t="shared" si="0"/>
        <v>14785165.34</v>
      </c>
      <c r="H15" s="34">
        <f t="shared" si="1"/>
        <v>54697834.66</v>
      </c>
      <c r="I15" s="201">
        <f t="shared" si="2"/>
        <v>21.278824086467193</v>
      </c>
      <c r="K15" s="1"/>
    </row>
    <row r="16" spans="1:11" ht="15">
      <c r="A16" s="46">
        <v>11460101</v>
      </c>
      <c r="B16" s="254" t="s">
        <v>1192</v>
      </c>
      <c r="C16" s="252"/>
      <c r="D16" s="71">
        <v>168000000</v>
      </c>
      <c r="E16" s="71">
        <v>0</v>
      </c>
      <c r="F16" s="207"/>
      <c r="G16" s="60">
        <f t="shared" si="0"/>
        <v>0</v>
      </c>
      <c r="H16" s="34">
        <f t="shared" si="1"/>
        <v>168000000</v>
      </c>
      <c r="I16" s="201">
        <f t="shared" si="2"/>
        <v>0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0</v>
      </c>
      <c r="F17" s="207">
        <f>90150+1000</f>
        <v>91150</v>
      </c>
      <c r="G17" s="60">
        <f t="shared" si="0"/>
        <v>91150</v>
      </c>
      <c r="H17" s="34">
        <f t="shared" si="1"/>
        <v>1608850</v>
      </c>
      <c r="I17" s="201">
        <f t="shared" si="2"/>
        <v>5.3617647058823525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500000</v>
      </c>
      <c r="F18" s="207">
        <f>1400000+1900000</f>
        <v>3300000</v>
      </c>
      <c r="G18" s="60">
        <f t="shared" si="0"/>
        <v>3800000</v>
      </c>
      <c r="H18" s="34">
        <f t="shared" si="1"/>
        <v>196200000</v>
      </c>
      <c r="I18" s="201">
        <f t="shared" si="2"/>
        <v>1.9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20909669.169999998</v>
      </c>
      <c r="F19" s="49">
        <f>+F7+F8+F9+F10+F11+F12+F13+F14+F15+F16+F17+F18</f>
        <v>130554645.84</v>
      </c>
      <c r="G19" s="49">
        <f>+G7+G8+G9+G10+G11+G12+G13+G14+G15+G16+G17+G18</f>
        <v>151464315.01</v>
      </c>
      <c r="H19" s="49">
        <f>H7+H8+H9+H10+H11+H12+H13+H15+H16+H17+H18</f>
        <v>3578342684.99</v>
      </c>
      <c r="I19" s="201">
        <f>+G19/D19*100</f>
        <v>3.859349866368785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1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80000</v>
      </c>
      <c r="F22" s="66">
        <v>0</v>
      </c>
      <c r="G22" s="34">
        <f>+E22+F22</f>
        <v>80000</v>
      </c>
      <c r="H22" s="34">
        <f>+D22-G22</f>
        <v>4720000</v>
      </c>
      <c r="I22" s="201">
        <f>G22/D22*100</f>
        <v>1.6666666666666667</v>
      </c>
      <c r="K22" s="1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5780000</v>
      </c>
      <c r="F23" s="164">
        <v>3480000</v>
      </c>
      <c r="G23" s="34">
        <f>+E23+F23</f>
        <v>9260000</v>
      </c>
      <c r="H23" s="34">
        <f>+D23-G23</f>
        <v>91940000</v>
      </c>
      <c r="I23" s="201">
        <f>G23/D23*100</f>
        <v>9.150197628458498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583100</v>
      </c>
      <c r="F24" s="34">
        <v>1214500</v>
      </c>
      <c r="G24" s="34">
        <f>+E24+F24</f>
        <v>1797600</v>
      </c>
      <c r="H24" s="34">
        <f>+D24-G24</f>
        <v>20966400</v>
      </c>
      <c r="I24" s="201">
        <f>G24/D24*100</f>
        <v>7.8966789667896675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6443100</v>
      </c>
      <c r="F25" s="49">
        <f>SUM(F22:F24)</f>
        <v>4694500</v>
      </c>
      <c r="G25" s="49">
        <f>SUM(G22:G24)</f>
        <v>11137600</v>
      </c>
      <c r="H25" s="49">
        <f>SUM(H22:H24)</f>
        <v>117626400</v>
      </c>
      <c r="I25" s="45">
        <f>G25/D25*100</f>
        <v>8.649622565313287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47" t="s">
        <v>53</v>
      </c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88000</v>
      </c>
      <c r="F28" s="34">
        <v>1977000</v>
      </c>
      <c r="G28" s="34">
        <f aca="true" t="shared" si="3" ref="G28:G33">+E28+F28</f>
        <v>2065000</v>
      </c>
      <c r="H28" s="34">
        <f aca="true" t="shared" si="4" ref="H28:H33">+D28-G28</f>
        <v>112935000</v>
      </c>
      <c r="I28" s="201">
        <f aca="true" t="shared" si="5" ref="I28:I33">G28/D28*100</f>
        <v>1.7956521739130433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20779519.99</v>
      </c>
      <c r="F29" s="164">
        <f>1690000+5000000</f>
        <v>6690000</v>
      </c>
      <c r="G29" s="34">
        <f t="shared" si="3"/>
        <v>27469519.99</v>
      </c>
      <c r="H29" s="34">
        <f t="shared" si="4"/>
        <v>55530480.010000005</v>
      </c>
      <c r="I29" s="201">
        <f t="shared" si="5"/>
        <v>33.09580721686747</v>
      </c>
      <c r="K29" s="1"/>
    </row>
    <row r="30" spans="1:11" ht="15">
      <c r="A30" s="46">
        <v>110806</v>
      </c>
      <c r="B30" s="253" t="s">
        <v>46</v>
      </c>
      <c r="C30" s="253"/>
      <c r="D30" s="34">
        <v>31000000</v>
      </c>
      <c r="E30" s="34">
        <v>0</v>
      </c>
      <c r="F30" s="34"/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53" t="s">
        <v>47</v>
      </c>
      <c r="C31" s="253"/>
      <c r="D31" s="34">
        <v>15000000</v>
      </c>
      <c r="E31" s="34">
        <v>320000</v>
      </c>
      <c r="F31" s="34">
        <v>300000</v>
      </c>
      <c r="G31" s="34">
        <f t="shared" si="3"/>
        <v>620000</v>
      </c>
      <c r="H31" s="34">
        <f t="shared" si="4"/>
        <v>14380000</v>
      </c>
      <c r="I31" s="201">
        <f t="shared" si="5"/>
        <v>4.133333333333333</v>
      </c>
      <c r="J31" s="221"/>
      <c r="K31" s="247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0</v>
      </c>
      <c r="F32" s="34">
        <f>21545000-5000000-300000-1000000</f>
        <v>15245000</v>
      </c>
      <c r="G32" s="34">
        <f t="shared" si="3"/>
        <v>15245000</v>
      </c>
      <c r="H32" s="34">
        <f t="shared" si="4"/>
        <v>84755000</v>
      </c>
      <c r="I32" s="201">
        <f t="shared" si="5"/>
        <v>15.245000000000001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0</v>
      </c>
      <c r="F33" s="34"/>
      <c r="G33" s="34">
        <f t="shared" si="3"/>
        <v>0</v>
      </c>
      <c r="H33" s="34">
        <f t="shared" si="4"/>
        <v>10000000</v>
      </c>
      <c r="I33" s="201">
        <f t="shared" si="5"/>
        <v>0</v>
      </c>
      <c r="K33" s="247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21187519.99</v>
      </c>
      <c r="F34" s="49">
        <f>SUM(F28:F33)</f>
        <v>24212000</v>
      </c>
      <c r="G34" s="49">
        <f>SUM(G28:G33)</f>
        <v>45399519.989999995</v>
      </c>
      <c r="H34" s="49">
        <f>SUM(H28:H33)</f>
        <v>308600480.01</v>
      </c>
      <c r="I34" s="45">
        <f>G34/D34*100</f>
        <v>12.824723161016948</v>
      </c>
      <c r="K34" s="247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47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47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66">
        <v>4656000</v>
      </c>
      <c r="F37" s="66">
        <f>1000000+2964500-300000+1000000</f>
        <v>4664500</v>
      </c>
      <c r="G37" s="34">
        <f>+E37+F37</f>
        <v>9320500</v>
      </c>
      <c r="H37" s="34">
        <f>+D37-G37</f>
        <v>200439500</v>
      </c>
      <c r="I37" s="201">
        <f>G37/D37*100</f>
        <v>4.443411517925248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207">
        <v>380000</v>
      </c>
      <c r="F38" s="207">
        <v>300000</v>
      </c>
      <c r="G38" s="34">
        <f>+E38+F38</f>
        <v>680000</v>
      </c>
      <c r="H38" s="34">
        <f>+D38-G38</f>
        <v>4720000</v>
      </c>
      <c r="I38" s="201">
        <f>G38/D38*100</f>
        <v>12.592592592592592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5036000</v>
      </c>
      <c r="F40" s="49">
        <f>SUM(F37:F39)</f>
        <v>4964500</v>
      </c>
      <c r="G40" s="49">
        <f>SUM(G37:G39)</f>
        <v>10000500</v>
      </c>
      <c r="H40" s="49">
        <f>SUM(H37:H39)</f>
        <v>206159500</v>
      </c>
      <c r="I40" s="45">
        <f>G40/D40*100</f>
        <v>4.626434122871947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200000</v>
      </c>
      <c r="F43" s="66">
        <f>1184000+1002000</f>
        <v>2186000</v>
      </c>
      <c r="G43" s="34">
        <f>+E43+F43</f>
        <v>2386000</v>
      </c>
      <c r="H43" s="34">
        <f>+D43-G43</f>
        <v>197614000</v>
      </c>
      <c r="I43" s="224">
        <f>G43/D43*100</f>
        <v>1.193</v>
      </c>
      <c r="K43" s="1"/>
    </row>
    <row r="44" spans="1:11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200000</v>
      </c>
      <c r="F44" s="49">
        <f>SUM(F43:F43)</f>
        <v>2186000</v>
      </c>
      <c r="G44" s="44">
        <f>+E44+F44</f>
        <v>2386000</v>
      </c>
      <c r="H44" s="49">
        <f>SUM(H43:H43)</f>
        <v>197614000</v>
      </c>
      <c r="I44" s="224">
        <f>G44/D44*100</f>
        <v>1.193</v>
      </c>
      <c r="K44" s="1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869000</v>
      </c>
      <c r="F46" s="66">
        <v>453000</v>
      </c>
      <c r="G46" s="34">
        <f>+E46+F46</f>
        <v>1322000</v>
      </c>
      <c r="H46" s="34">
        <f>+D46-G46</f>
        <v>4678000</v>
      </c>
      <c r="I46" s="201">
        <f>G46/D46*100</f>
        <v>22.03333333333333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869000</v>
      </c>
      <c r="F48" s="49">
        <f>SUM(F46:F47)</f>
        <v>453000</v>
      </c>
      <c r="G48" s="49">
        <f>SUM(G46:G47)</f>
        <v>1322000</v>
      </c>
      <c r="H48" s="49">
        <f>SUM(H46:H47)</f>
        <v>5178000</v>
      </c>
      <c r="I48" s="45">
        <f>G48/D48*100</f>
        <v>20.338461538461537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0</v>
      </c>
      <c r="F50" s="34">
        <v>0</v>
      </c>
      <c r="G50" s="34">
        <f>+E50+F50</f>
        <v>0</v>
      </c>
      <c r="H50" s="39">
        <f>+D50-G50</f>
        <v>8400000</v>
      </c>
      <c r="I50" s="201">
        <f>G50/D50*100</f>
        <v>0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530000</v>
      </c>
      <c r="F51" s="71">
        <v>600000</v>
      </c>
      <c r="G51" s="71">
        <f>+E51+F51</f>
        <v>1130000</v>
      </c>
      <c r="H51" s="39">
        <f>+D51-G51</f>
        <v>-1130000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530000</v>
      </c>
      <c r="F52" s="44">
        <f>SUM(F50:F51)</f>
        <v>600000</v>
      </c>
      <c r="G52" s="44">
        <f>SUM(G50:G51)</f>
        <v>1130000</v>
      </c>
      <c r="H52" s="44">
        <f>SUM(H50:H50)</f>
        <v>8400000</v>
      </c>
      <c r="I52" s="45">
        <f>G52/D52*100</f>
        <v>13.452380952380953</v>
      </c>
      <c r="K52" s="1"/>
    </row>
    <row r="53" spans="1:11" ht="23.25" customHeight="1" thickTop="1">
      <c r="A53" s="46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11440000</v>
      </c>
      <c r="F54" s="207">
        <v>0</v>
      </c>
      <c r="G54" s="206">
        <f>+E54+F54</f>
        <v>11440000</v>
      </c>
      <c r="H54" s="206">
        <f>+D54-G54</f>
        <v>288560000</v>
      </c>
      <c r="I54" s="223">
        <f>G54/D54*100</f>
        <v>3.813333333333333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0</v>
      </c>
      <c r="F55" s="246">
        <v>0</v>
      </c>
      <c r="G55" s="206">
        <f>+E55+F55</f>
        <v>0</v>
      </c>
      <c r="H55" s="206">
        <f>+D55-G55</f>
        <v>35200000</v>
      </c>
      <c r="I55" s="223">
        <f>G55/D55*100</f>
        <v>0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9380000</v>
      </c>
      <c r="F56" s="246">
        <v>0</v>
      </c>
      <c r="G56" s="206">
        <f>+E56+F56</f>
        <v>9380000</v>
      </c>
      <c r="H56" s="206">
        <f>+D56-G56</f>
        <v>24869980</v>
      </c>
      <c r="I56" s="223">
        <f>G56/D56*100</f>
        <v>27.386877306205726</v>
      </c>
      <c r="K56" s="1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0</v>
      </c>
      <c r="F57" s="246">
        <v>0</v>
      </c>
      <c r="G57" s="206">
        <f>+E57+F57</f>
        <v>0</v>
      </c>
      <c r="H57" s="206">
        <f>+D57-G57</f>
        <v>361900000</v>
      </c>
      <c r="I57" s="223">
        <f>G57/D57*100</f>
        <v>0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20820000</v>
      </c>
      <c r="F58" s="208">
        <f>SUM(F54:F57)</f>
        <v>0</v>
      </c>
      <c r="G58" s="208">
        <f>SUM(G54:G57)</f>
        <v>20820000</v>
      </c>
      <c r="H58" s="208">
        <f>SUM(H54:H54)</f>
        <v>288560000</v>
      </c>
      <c r="I58" s="223">
        <f>G58/D58*100</f>
        <v>2.846790260389424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0</v>
      </c>
      <c r="F60" s="56">
        <v>0</v>
      </c>
      <c r="G60" s="56">
        <v>0</v>
      </c>
      <c r="H60" s="39">
        <f>+D60-G60</f>
        <v>8300000</v>
      </c>
      <c r="I60" s="225">
        <f>G60/D60*100</f>
        <v>0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75995289.16</v>
      </c>
      <c r="F61" s="49">
        <f>+F19+F25+F34+F40+F44+F48+F52+F58+F60</f>
        <v>167664645.84</v>
      </c>
      <c r="G61" s="49">
        <f>+G19+G25+G34+G40+G44+G48+G52+G58+G60</f>
        <v>243659935</v>
      </c>
      <c r="H61" s="49">
        <f>+H19+H25+H34+H40+H44+H48+H52+H58+H60</f>
        <v>4718781065</v>
      </c>
      <c r="I61" s="222">
        <f>G61/D61*100</f>
        <v>4.368167760088704</v>
      </c>
      <c r="J61" s="67"/>
      <c r="K61" s="1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/>
      <c r="B63" s="319"/>
      <c r="C63" s="319"/>
      <c r="D63" s="168"/>
      <c r="E63" s="220"/>
      <c r="F63" s="168"/>
      <c r="G63" s="218"/>
      <c r="H63" s="218"/>
      <c r="I63" s="168"/>
      <c r="K63" s="247"/>
    </row>
    <row r="64" spans="1:9" ht="15">
      <c r="A64" s="2"/>
      <c r="B64" s="16"/>
      <c r="C64" s="16"/>
      <c r="D64" s="14"/>
      <c r="E64" s="14"/>
      <c r="F64" s="14"/>
      <c r="G64" s="14"/>
      <c r="H64" s="14"/>
      <c r="I64" s="15"/>
    </row>
    <row r="65" spans="4:8" ht="15">
      <c r="D65" s="161"/>
      <c r="E65" s="161"/>
      <c r="F65" s="161"/>
      <c r="G65" s="161"/>
      <c r="H65" s="161"/>
    </row>
    <row r="66" ht="15">
      <c r="D66" s="161"/>
    </row>
    <row r="68" spans="4:5" ht="15">
      <c r="D68" s="161"/>
      <c r="E68" s="247"/>
    </row>
    <row r="69" spans="3:4" ht="15">
      <c r="C69" s="248"/>
      <c r="D69" s="161"/>
    </row>
    <row r="70" spans="4:7" ht="15">
      <c r="D70" s="161"/>
      <c r="E70" s="247"/>
      <c r="G70" s="3"/>
    </row>
    <row r="71" spans="4:7" ht="15">
      <c r="D71" s="161"/>
      <c r="E71" s="247"/>
      <c r="G71" s="3"/>
    </row>
    <row r="72" spans="3:5" ht="15">
      <c r="C72" s="248"/>
      <c r="D72" s="249"/>
      <c r="E72" s="247"/>
    </row>
    <row r="74" spans="4:5" ht="15">
      <c r="D74" s="161"/>
      <c r="E74" s="247"/>
    </row>
    <row r="75" ht="15">
      <c r="E75" s="247"/>
    </row>
    <row r="76" spans="4:5" ht="15">
      <c r="D76" s="161"/>
      <c r="E76" s="247"/>
    </row>
  </sheetData>
  <sheetProtection/>
  <mergeCells count="55"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8:C28"/>
    <mergeCell ref="B29:C29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62:C62"/>
    <mergeCell ref="A63:C63"/>
    <mergeCell ref="B49:C49"/>
    <mergeCell ref="B52:C52"/>
    <mergeCell ref="D53:I53"/>
    <mergeCell ref="B54:C54"/>
    <mergeCell ref="B58:C58"/>
    <mergeCell ref="B60:C6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8"/>
  <sheetViews>
    <sheetView zoomScalePageLayoutView="0" workbookViewId="0" topLeftCell="A37">
      <selection activeCell="G20" sqref="G20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2.8515625" style="1" customWidth="1"/>
    <col min="5" max="5" width="18.28125" style="1" customWidth="1"/>
    <col min="6" max="6" width="18.8515625" style="1" customWidth="1"/>
    <col min="7" max="8" width="18.57421875" style="0" customWidth="1"/>
    <col min="9" max="9" width="7.851562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1222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1227</v>
      </c>
      <c r="E4" s="324" t="s">
        <v>1223</v>
      </c>
      <c r="F4" s="326" t="s">
        <v>1224</v>
      </c>
      <c r="G4" s="324" t="s">
        <v>1225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122770070.04</v>
      </c>
      <c r="F7" s="207">
        <v>0</v>
      </c>
      <c r="G7" s="60">
        <f aca="true" t="shared" si="0" ref="G7:G18">+E7+F7</f>
        <v>122770070.04</v>
      </c>
      <c r="H7" s="34">
        <f aca="true" t="shared" si="1" ref="H7:H18">+D7-G7</f>
        <v>1977229929.96</v>
      </c>
      <c r="I7" s="201">
        <f aca="true" t="shared" si="2" ref="I7:I19"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2978029.63</v>
      </c>
      <c r="F8" s="207">
        <v>9124260.94</v>
      </c>
      <c r="G8" s="60">
        <f t="shared" si="0"/>
        <v>12102290.57</v>
      </c>
      <c r="H8" s="34">
        <f t="shared" si="1"/>
        <v>987897709.43</v>
      </c>
      <c r="I8" s="201">
        <f t="shared" si="2"/>
        <v>1.210229057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>
        <v>0</v>
      </c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3545500</v>
      </c>
      <c r="F10" s="66">
        <f>1297000+1233000</f>
        <v>2530000</v>
      </c>
      <c r="G10" s="60">
        <f t="shared" si="0"/>
        <v>6075500</v>
      </c>
      <c r="H10" s="34">
        <f t="shared" si="1"/>
        <v>60164500</v>
      </c>
      <c r="I10" s="201">
        <f t="shared" si="2"/>
        <v>9.171950483091788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>
        <v>0</v>
      </c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1" t="s">
        <v>1215</v>
      </c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>
        <v>0</v>
      </c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3294400</v>
      </c>
      <c r="F13" s="207">
        <v>1687500</v>
      </c>
      <c r="G13" s="60">
        <f t="shared" si="0"/>
        <v>4981900</v>
      </c>
      <c r="H13" s="34">
        <f t="shared" si="1"/>
        <v>90442100</v>
      </c>
      <c r="I13" s="201">
        <f t="shared" si="2"/>
        <v>5.220803990610329</v>
      </c>
      <c r="J13" s="221"/>
      <c r="K13" s="1"/>
    </row>
    <row r="14" spans="1:11" ht="15">
      <c r="A14" s="46">
        <v>11310104</v>
      </c>
      <c r="B14" s="258" t="s">
        <v>1196</v>
      </c>
      <c r="C14" s="257"/>
      <c r="D14" s="71">
        <v>195000000</v>
      </c>
      <c r="E14" s="34">
        <v>200000</v>
      </c>
      <c r="F14" s="207">
        <v>30000</v>
      </c>
      <c r="G14" s="60">
        <f t="shared" si="0"/>
        <v>230000</v>
      </c>
      <c r="H14" s="34">
        <f t="shared" si="1"/>
        <v>194770000</v>
      </c>
      <c r="I14" s="201">
        <f t="shared" si="2"/>
        <v>0.11794871794871796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v>14785165.34</v>
      </c>
      <c r="F15" s="207">
        <f>6414162.17-3200000-1000000-500000</f>
        <v>1714162.17</v>
      </c>
      <c r="G15" s="60">
        <f t="shared" si="0"/>
        <v>16499327.51</v>
      </c>
      <c r="H15" s="34">
        <f t="shared" si="1"/>
        <v>52983672.49</v>
      </c>
      <c r="I15" s="201">
        <f t="shared" si="2"/>
        <v>23.74584791963502</v>
      </c>
      <c r="K15" s="1"/>
    </row>
    <row r="16" spans="1:11" ht="15">
      <c r="A16" s="46">
        <v>11460101</v>
      </c>
      <c r="B16" s="258" t="s">
        <v>1192</v>
      </c>
      <c r="C16" s="257"/>
      <c r="D16" s="71">
        <v>168000000</v>
      </c>
      <c r="E16" s="71">
        <v>0</v>
      </c>
      <c r="F16" s="207">
        <f>1000000+1500000</f>
        <v>2500000</v>
      </c>
      <c r="G16" s="60">
        <f t="shared" si="0"/>
        <v>2500000</v>
      </c>
      <c r="H16" s="34">
        <f t="shared" si="1"/>
        <v>165500000</v>
      </c>
      <c r="I16" s="201">
        <f t="shared" si="2"/>
        <v>1.488095238095238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91150</v>
      </c>
      <c r="F17" s="207">
        <v>0</v>
      </c>
      <c r="G17" s="60">
        <f t="shared" si="0"/>
        <v>91150</v>
      </c>
      <c r="H17" s="34">
        <f t="shared" si="1"/>
        <v>1608850</v>
      </c>
      <c r="I17" s="201">
        <f t="shared" si="2"/>
        <v>5.3617647058823525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3800000</v>
      </c>
      <c r="F18" s="207">
        <v>0</v>
      </c>
      <c r="G18" s="60">
        <f t="shared" si="0"/>
        <v>3800000</v>
      </c>
      <c r="H18" s="34">
        <f t="shared" si="1"/>
        <v>196200000</v>
      </c>
      <c r="I18" s="201">
        <f t="shared" si="2"/>
        <v>1.9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151464315.01</v>
      </c>
      <c r="F19" s="49">
        <f>+F7+F8+F9+F10+F11+F12+F13+F14+F15+F16+F17+F18</f>
        <v>17585923.11</v>
      </c>
      <c r="G19" s="49">
        <f>+G7+G8+G9+G10+G11+G12+G13+G14+G15+G16+G17+G18</f>
        <v>169050238.12</v>
      </c>
      <c r="H19" s="49">
        <f>H7+H8+H9+H10+H11+H12+H13+H15+H16+H17+H18</f>
        <v>3560786761.8799996</v>
      </c>
      <c r="I19" s="201">
        <f t="shared" si="2"/>
        <v>4.307443729270218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1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80000</v>
      </c>
      <c r="F22" s="66">
        <v>40000</v>
      </c>
      <c r="G22" s="34">
        <f>+E22+F22</f>
        <v>120000</v>
      </c>
      <c r="H22" s="34">
        <f>+D22-G22</f>
        <v>4680000</v>
      </c>
      <c r="I22" s="201">
        <f>G22/D22*100</f>
        <v>2.5</v>
      </c>
      <c r="K22" s="1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9260000</v>
      </c>
      <c r="F23" s="164">
        <v>7050000</v>
      </c>
      <c r="G23" s="34">
        <f>+E23+F23</f>
        <v>16310000</v>
      </c>
      <c r="H23" s="34">
        <f>+D23-G23</f>
        <v>84890000</v>
      </c>
      <c r="I23" s="201">
        <f>G23/D23*100</f>
        <v>16.116600790513836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1797600</v>
      </c>
      <c r="F24" s="34">
        <v>374900</v>
      </c>
      <c r="G24" s="34">
        <f>+E24+F24</f>
        <v>2172500</v>
      </c>
      <c r="H24" s="34">
        <f>+D24-G24</f>
        <v>20591500</v>
      </c>
      <c r="I24" s="201">
        <f>G24/D24*100</f>
        <v>9.543577578632929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11137600</v>
      </c>
      <c r="F25" s="49">
        <f>SUM(F22:F24)</f>
        <v>7464900</v>
      </c>
      <c r="G25" s="49">
        <f>SUM(G22:G24)</f>
        <v>18602500</v>
      </c>
      <c r="H25" s="49">
        <f>SUM(H22:H24)</f>
        <v>110161500</v>
      </c>
      <c r="I25" s="45">
        <f>G25/D25*100</f>
        <v>14.446972756360474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47" t="s">
        <v>53</v>
      </c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2065000</v>
      </c>
      <c r="F28" s="34">
        <v>465000</v>
      </c>
      <c r="G28" s="34">
        <f aca="true" t="shared" si="3" ref="G28:G33">+E28+F28</f>
        <v>2530000</v>
      </c>
      <c r="H28" s="34">
        <f aca="true" t="shared" si="4" ref="H28:H33">+D28-G28</f>
        <v>112470000</v>
      </c>
      <c r="I28" s="201">
        <f aca="true" t="shared" si="5" ref="I28:I34">G28/D28*100</f>
        <v>2.1999999999999997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27469519.99</v>
      </c>
      <c r="F29" s="164">
        <f>4200000-160000</f>
        <v>4040000</v>
      </c>
      <c r="G29" s="34">
        <f t="shared" si="3"/>
        <v>31509519.99</v>
      </c>
      <c r="H29" s="34">
        <f t="shared" si="4"/>
        <v>51490480.010000005</v>
      </c>
      <c r="I29" s="201">
        <f t="shared" si="5"/>
        <v>37.96327709638554</v>
      </c>
      <c r="K29" s="1"/>
    </row>
    <row r="30" spans="1:11" ht="15">
      <c r="A30" s="46">
        <v>110806</v>
      </c>
      <c r="B30" s="255" t="s">
        <v>46</v>
      </c>
      <c r="C30" s="255"/>
      <c r="D30" s="34">
        <v>31000000</v>
      </c>
      <c r="E30" s="34">
        <v>0</v>
      </c>
      <c r="F30" s="34">
        <v>0</v>
      </c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55" t="s">
        <v>47</v>
      </c>
      <c r="C31" s="255"/>
      <c r="D31" s="34">
        <v>15000000</v>
      </c>
      <c r="E31" s="34">
        <v>620000</v>
      </c>
      <c r="F31" s="34">
        <v>515000</v>
      </c>
      <c r="G31" s="34">
        <f t="shared" si="3"/>
        <v>1135000</v>
      </c>
      <c r="H31" s="34">
        <f t="shared" si="4"/>
        <v>13865000</v>
      </c>
      <c r="I31" s="201">
        <f t="shared" si="5"/>
        <v>7.566666666666666</v>
      </c>
      <c r="J31" s="221"/>
      <c r="K31" s="247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15245000</v>
      </c>
      <c r="F32" s="34">
        <f>64715500-4200000-515000-2654000-1233000</f>
        <v>56113500</v>
      </c>
      <c r="G32" s="34">
        <f t="shared" si="3"/>
        <v>71358500</v>
      </c>
      <c r="H32" s="34">
        <f t="shared" si="4"/>
        <v>28641500</v>
      </c>
      <c r="I32" s="201">
        <f t="shared" si="5"/>
        <v>71.3585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0</v>
      </c>
      <c r="F33" s="34">
        <v>160000</v>
      </c>
      <c r="G33" s="34">
        <f t="shared" si="3"/>
        <v>160000</v>
      </c>
      <c r="H33" s="34">
        <f t="shared" si="4"/>
        <v>9840000</v>
      </c>
      <c r="I33" s="201">
        <f t="shared" si="5"/>
        <v>1.6</v>
      </c>
      <c r="K33" s="247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45399519.989999995</v>
      </c>
      <c r="F34" s="49">
        <f>SUM(F28:F33)</f>
        <v>61293500</v>
      </c>
      <c r="G34" s="49">
        <f>SUM(G28:G33)</f>
        <v>106693019.99</v>
      </c>
      <c r="H34" s="49">
        <f>SUM(H28:H33)</f>
        <v>247306980.01</v>
      </c>
      <c r="I34" s="45">
        <f t="shared" si="5"/>
        <v>30.13927118361582</v>
      </c>
      <c r="K34" s="247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47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47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66">
        <v>9320500</v>
      </c>
      <c r="F37" s="66">
        <f>3200000+2654000</f>
        <v>5854000</v>
      </c>
      <c r="G37" s="34">
        <f>+E37+F37</f>
        <v>15174500</v>
      </c>
      <c r="H37" s="34">
        <f>+D37-G37</f>
        <v>194585500</v>
      </c>
      <c r="I37" s="201">
        <f>G37/D37*100</f>
        <v>7.23422006102212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207">
        <v>680000</v>
      </c>
      <c r="F38" s="207">
        <f>300000+1500</f>
        <v>301500</v>
      </c>
      <c r="G38" s="34">
        <f>+E38+F38</f>
        <v>981500</v>
      </c>
      <c r="H38" s="34">
        <f>+D38-G38</f>
        <v>4418500</v>
      </c>
      <c r="I38" s="201">
        <f>G38/D38*100</f>
        <v>18.175925925925927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10000500</v>
      </c>
      <c r="F40" s="49">
        <f>SUM(F37:F39)</f>
        <v>6155500</v>
      </c>
      <c r="G40" s="49">
        <f>SUM(G37:G39)</f>
        <v>16156000</v>
      </c>
      <c r="H40" s="49">
        <f>SUM(H37:H39)</f>
        <v>200004000</v>
      </c>
      <c r="I40" s="45">
        <f>G40/D40*100</f>
        <v>7.474093264248705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2386000</v>
      </c>
      <c r="F43" s="66">
        <f>250000+1680000-100000</f>
        <v>1830000</v>
      </c>
      <c r="G43" s="34">
        <f>+E43+F43</f>
        <v>4216000</v>
      </c>
      <c r="H43" s="34">
        <f>+D43-G43</f>
        <v>195784000</v>
      </c>
      <c r="I43" s="224">
        <f>G43/D43*100</f>
        <v>2.108</v>
      </c>
      <c r="K43" s="1"/>
    </row>
    <row r="44" spans="1:11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2386000</v>
      </c>
      <c r="F44" s="49">
        <f>SUM(F43:F43)</f>
        <v>1830000</v>
      </c>
      <c r="G44" s="44">
        <f>+E44+F44</f>
        <v>4216000</v>
      </c>
      <c r="H44" s="49">
        <f>SUM(H43:H43)</f>
        <v>195784000</v>
      </c>
      <c r="I44" s="224">
        <f>G44/D44*100</f>
        <v>2.108</v>
      </c>
      <c r="K44" s="1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1322000</v>
      </c>
      <c r="F46" s="66">
        <f>900000+32000</f>
        <v>932000</v>
      </c>
      <c r="G46" s="34">
        <f>+E46+F46</f>
        <v>2254000</v>
      </c>
      <c r="H46" s="34">
        <f>+D46-G46</f>
        <v>3746000</v>
      </c>
      <c r="I46" s="201">
        <f>G46/D46*100</f>
        <v>37.56666666666666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1322000</v>
      </c>
      <c r="F48" s="49">
        <f>SUM(F46:F47)</f>
        <v>932000</v>
      </c>
      <c r="G48" s="49">
        <f>SUM(G46:G47)</f>
        <v>2254000</v>
      </c>
      <c r="H48" s="49">
        <f>SUM(H46:H47)</f>
        <v>4246000</v>
      </c>
      <c r="I48" s="45">
        <f>G48/D48*100</f>
        <v>34.676923076923075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0</v>
      </c>
      <c r="F50" s="34">
        <v>10453606</v>
      </c>
      <c r="G50" s="34">
        <f>+E50+F50</f>
        <v>10453606</v>
      </c>
      <c r="H50" s="39">
        <f>+D50-G50</f>
        <v>-2053606</v>
      </c>
      <c r="I50" s="201">
        <f>G50/D50*100</f>
        <v>124.44769047619049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1130000</v>
      </c>
      <c r="F51" s="71">
        <v>980000</v>
      </c>
      <c r="G51" s="71">
        <f>+E51+F51</f>
        <v>2110000</v>
      </c>
      <c r="H51" s="39">
        <f>+D51-G51</f>
        <v>-2110000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1130000</v>
      </c>
      <c r="F52" s="44">
        <f>SUM(F50:F51)</f>
        <v>11433606</v>
      </c>
      <c r="G52" s="44">
        <f>SUM(G50:G51)</f>
        <v>12563606</v>
      </c>
      <c r="H52" s="44">
        <f>SUM(H50:H50)</f>
        <v>-2053606</v>
      </c>
      <c r="I52" s="45">
        <f>G52/D52*100</f>
        <v>149.5667380952381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11440000</v>
      </c>
      <c r="F54" s="207">
        <f>30961000+15750000</f>
        <v>46711000</v>
      </c>
      <c r="G54" s="206">
        <f>+E54+F54</f>
        <v>58151000</v>
      </c>
      <c r="H54" s="206">
        <f>+D54-G54</f>
        <v>241849000</v>
      </c>
      <c r="I54" s="223">
        <f>G54/D54*100</f>
        <v>19.383666666666667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0</v>
      </c>
      <c r="F55" s="246">
        <v>4805000</v>
      </c>
      <c r="G55" s="206">
        <f>+E55+F55</f>
        <v>4805000</v>
      </c>
      <c r="H55" s="206">
        <f>+D55-G55</f>
        <v>30395000</v>
      </c>
      <c r="I55" s="223">
        <f>G55/D55*100</f>
        <v>13.650568181818182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9380000</v>
      </c>
      <c r="F56" s="246">
        <v>2512000</v>
      </c>
      <c r="G56" s="206">
        <f>+E56+F56</f>
        <v>11892000</v>
      </c>
      <c r="H56" s="206">
        <f>+D56-G56</f>
        <v>22357980</v>
      </c>
      <c r="I56" s="223">
        <f>G56/D56*100</f>
        <v>34.721188158358046</v>
      </c>
      <c r="K56" s="1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0</v>
      </c>
      <c r="F57" s="246">
        <v>47196300</v>
      </c>
      <c r="G57" s="206">
        <f>+E57+F57</f>
        <v>47196300</v>
      </c>
      <c r="H57" s="206">
        <f>+D57-G57</f>
        <v>314703700</v>
      </c>
      <c r="I57" s="223">
        <f>G57/D57*100</f>
        <v>13.04125449019066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20820000</v>
      </c>
      <c r="F58" s="208">
        <f>SUM(F54:F57)</f>
        <v>101224300</v>
      </c>
      <c r="G58" s="208">
        <f>SUM(G54:G57)</f>
        <v>122044300</v>
      </c>
      <c r="H58" s="208">
        <f>SUM(H54:H54)</f>
        <v>241849000</v>
      </c>
      <c r="I58" s="223">
        <f>G58/D58*100</f>
        <v>16.687537203460373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0</v>
      </c>
      <c r="F60" s="56">
        <v>300000</v>
      </c>
      <c r="G60" s="56">
        <f>+E60+F60</f>
        <v>300000</v>
      </c>
      <c r="H60" s="39">
        <f>+D60-G60</f>
        <v>8000000</v>
      </c>
      <c r="I60" s="225">
        <f>G60/D60*100</f>
        <v>3.614457831325301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243659935</v>
      </c>
      <c r="F61" s="49">
        <f>+F19+F25+F34+F40+F44+F48+F52+F58+F60</f>
        <v>208219729.11</v>
      </c>
      <c r="G61" s="49">
        <f>+G19+G25+G34+G40+G44+G48+G52+G58+G60</f>
        <v>451879664.11</v>
      </c>
      <c r="H61" s="49">
        <f>+H19+H25+H34+H40+H44+H48+H52+H58+H60</f>
        <v>4566084635.889999</v>
      </c>
      <c r="I61" s="222">
        <f>G61/D61*100</f>
        <v>8.100987879706258</v>
      </c>
      <c r="J61" s="67"/>
      <c r="K61" s="1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 t="s">
        <v>79</v>
      </c>
      <c r="B63" s="319"/>
      <c r="C63" s="319"/>
      <c r="D63" s="168"/>
      <c r="E63" s="220"/>
      <c r="F63" s="168"/>
      <c r="G63" s="218"/>
      <c r="H63" s="218"/>
      <c r="I63" s="168"/>
      <c r="K63" s="247"/>
    </row>
    <row r="64" spans="1:13" ht="15">
      <c r="A64" s="33">
        <v>13310101</v>
      </c>
      <c r="B64" s="332" t="s">
        <v>1204</v>
      </c>
      <c r="C64" s="332"/>
      <c r="D64" s="34">
        <v>16807723000</v>
      </c>
      <c r="E64" s="34">
        <v>2362664000</v>
      </c>
      <c r="F64" s="34">
        <v>1181332000</v>
      </c>
      <c r="G64" s="34">
        <f>+E64+F64</f>
        <v>3543996000</v>
      </c>
      <c r="H64" s="34">
        <f>+D64-F64</f>
        <v>15626391000</v>
      </c>
      <c r="I64" s="201">
        <f>G64/D64*100</f>
        <v>21.085521221405184</v>
      </c>
      <c r="K64" s="226"/>
      <c r="L64" s="221"/>
      <c r="M64" s="221"/>
    </row>
    <row r="65" spans="1:13" ht="15.75" thickBot="1">
      <c r="A65" s="204"/>
      <c r="B65" s="335" t="s">
        <v>1079</v>
      </c>
      <c r="C65" s="336"/>
      <c r="D65" s="44">
        <f>SUM(D64:D64)</f>
        <v>16807723000</v>
      </c>
      <c r="E65" s="44">
        <f>SUM(E64:E64)</f>
        <v>2362664000</v>
      </c>
      <c r="F65" s="44">
        <f>SUM(F64:F64)</f>
        <v>1181332000</v>
      </c>
      <c r="G65" s="44">
        <f>SUM(G64:G64)</f>
        <v>3543996000</v>
      </c>
      <c r="H65" s="44">
        <f>SUM(H64:H64)</f>
        <v>15626391000</v>
      </c>
      <c r="I65" s="201">
        <f>G65/D65*100</f>
        <v>21.085521221405184</v>
      </c>
      <c r="J65" s="26"/>
      <c r="K65" s="226"/>
      <c r="L65" s="221"/>
      <c r="M65" s="221"/>
    </row>
    <row r="66" spans="1:13" ht="15.75" thickTop="1">
      <c r="A66" s="72"/>
      <c r="B66" s="318" t="s">
        <v>44</v>
      </c>
      <c r="C66" s="318"/>
      <c r="D66" s="26"/>
      <c r="E66" s="26"/>
      <c r="F66" s="26"/>
      <c r="G66" s="21"/>
      <c r="H66" s="21"/>
      <c r="I66" s="166"/>
      <c r="K66" s="226"/>
      <c r="L66" s="221"/>
      <c r="M66" s="221"/>
    </row>
    <row r="67" spans="1:13" ht="15">
      <c r="A67" s="33">
        <v>13310102</v>
      </c>
      <c r="B67" s="314" t="s">
        <v>1168</v>
      </c>
      <c r="C67" s="314"/>
      <c r="D67" s="34">
        <f>73086000+33825000</f>
        <v>106911000</v>
      </c>
      <c r="E67" s="34">
        <v>7589000</v>
      </c>
      <c r="F67" s="34">
        <v>6091000</v>
      </c>
      <c r="G67" s="34">
        <f>+E67+F67</f>
        <v>13680000</v>
      </c>
      <c r="H67" s="34">
        <f aca="true" t="shared" si="6" ref="H67:H82">+D67-G67</f>
        <v>93231000</v>
      </c>
      <c r="I67" s="201">
        <f aca="true" t="shared" si="7" ref="I67:I83">G67/D67*100</f>
        <v>12.795689872884921</v>
      </c>
      <c r="K67" s="226"/>
      <c r="L67" s="221"/>
      <c r="M67" s="221"/>
    </row>
    <row r="68" spans="1:11" ht="15">
      <c r="A68" s="33">
        <v>13310102</v>
      </c>
      <c r="B68" s="314" t="s">
        <v>1162</v>
      </c>
      <c r="C68" s="314"/>
      <c r="D68" s="34">
        <f>44823000+114092000+K79+172401000</f>
        <v>331316000</v>
      </c>
      <c r="E68" s="34">
        <v>198245417.17000002</v>
      </c>
      <c r="F68" s="34">
        <v>7470000</v>
      </c>
      <c r="G68" s="34">
        <f aca="true" t="shared" si="8" ref="G68:G82">+E68+F68</f>
        <v>205715417.17000002</v>
      </c>
      <c r="H68" s="34">
        <f t="shared" si="6"/>
        <v>125600582.82999998</v>
      </c>
      <c r="I68" s="201">
        <f t="shared" si="7"/>
        <v>62.090396228977774</v>
      </c>
      <c r="J68" s="221"/>
      <c r="K68" s="1"/>
    </row>
    <row r="69" spans="1:11" ht="15">
      <c r="A69" s="33">
        <v>13310102</v>
      </c>
      <c r="B69" s="314" t="s">
        <v>1160</v>
      </c>
      <c r="C69" s="314"/>
      <c r="D69" s="34">
        <f>21230000+28538000+24876000+118881000</f>
        <v>193525000</v>
      </c>
      <c r="E69" s="34">
        <v>6212000</v>
      </c>
      <c r="F69" s="206">
        <f>3522000+6160000</f>
        <v>9682000</v>
      </c>
      <c r="G69" s="34">
        <f t="shared" si="8"/>
        <v>15894000</v>
      </c>
      <c r="H69" s="34">
        <f t="shared" si="6"/>
        <v>177631000</v>
      </c>
      <c r="I69" s="201">
        <f t="shared" si="7"/>
        <v>8.212892391163933</v>
      </c>
      <c r="K69" s="215"/>
    </row>
    <row r="70" spans="1:11" ht="15">
      <c r="A70" s="33">
        <v>13310102</v>
      </c>
      <c r="B70" s="255" t="s">
        <v>1208</v>
      </c>
      <c r="C70" s="255"/>
      <c r="D70" s="34">
        <f>93960000+139600000+314400000-15911796.77+108904796.77</f>
        <v>640953000</v>
      </c>
      <c r="E70" s="34">
        <v>78220000</v>
      </c>
      <c r="F70" s="34">
        <f>52203739+27230934</f>
        <v>79434673</v>
      </c>
      <c r="G70" s="34">
        <f t="shared" si="8"/>
        <v>157654673</v>
      </c>
      <c r="H70" s="34">
        <f t="shared" si="6"/>
        <v>483298327</v>
      </c>
      <c r="I70" s="201">
        <f t="shared" si="7"/>
        <v>24.596916310556313</v>
      </c>
      <c r="K70" s="215"/>
    </row>
    <row r="71" spans="1:11" ht="15">
      <c r="A71" s="33">
        <v>13310102</v>
      </c>
      <c r="B71" s="314" t="s">
        <v>1169</v>
      </c>
      <c r="C71" s="314"/>
      <c r="D71" s="34">
        <v>8855000</v>
      </c>
      <c r="E71" s="34">
        <v>738000</v>
      </c>
      <c r="F71" s="34">
        <v>738000</v>
      </c>
      <c r="G71" s="34">
        <f t="shared" si="8"/>
        <v>1476000</v>
      </c>
      <c r="H71" s="34">
        <f t="shared" si="6"/>
        <v>7379000</v>
      </c>
      <c r="I71" s="201">
        <f t="shared" si="7"/>
        <v>16.668548842461885</v>
      </c>
      <c r="J71" s="221"/>
      <c r="K71" s="1"/>
    </row>
    <row r="72" spans="1:11" ht="15">
      <c r="A72" s="33">
        <v>13310102</v>
      </c>
      <c r="B72" s="311" t="s">
        <v>1184</v>
      </c>
      <c r="C72" s="312"/>
      <c r="D72" s="71">
        <v>25526000</v>
      </c>
      <c r="E72" s="34">
        <v>2127166.6666666665</v>
      </c>
      <c r="F72" s="34">
        <f>3379665</f>
        <v>3379665</v>
      </c>
      <c r="G72" s="34">
        <f t="shared" si="8"/>
        <v>5506831.666666666</v>
      </c>
      <c r="H72" s="34">
        <f t="shared" si="6"/>
        <v>20019168.333333336</v>
      </c>
      <c r="I72" s="201">
        <f t="shared" si="7"/>
        <v>21.573421870511112</v>
      </c>
      <c r="J72" s="221"/>
      <c r="K72" s="215"/>
    </row>
    <row r="73" spans="1:11" ht="15">
      <c r="A73" s="33">
        <v>13310102</v>
      </c>
      <c r="B73" s="311" t="s">
        <v>1172</v>
      </c>
      <c r="C73" s="312"/>
      <c r="D73" s="71">
        <v>8000000</v>
      </c>
      <c r="E73" s="34">
        <v>666666.6666666667</v>
      </c>
      <c r="F73" s="34">
        <v>666666.6666666667</v>
      </c>
      <c r="G73" s="34">
        <f t="shared" si="8"/>
        <v>1333333.3333333335</v>
      </c>
      <c r="H73" s="34">
        <f t="shared" si="6"/>
        <v>6666666.666666666</v>
      </c>
      <c r="I73" s="201">
        <f t="shared" si="7"/>
        <v>16.666666666666668</v>
      </c>
      <c r="K73" s="1"/>
    </row>
    <row r="74" spans="1:11" ht="15">
      <c r="A74" s="33">
        <v>13310102</v>
      </c>
      <c r="B74" s="311" t="s">
        <v>1173</v>
      </c>
      <c r="C74" s="312"/>
      <c r="D74" s="71">
        <v>9960000</v>
      </c>
      <c r="E74" s="34">
        <v>830000</v>
      </c>
      <c r="F74" s="34">
        <v>830000</v>
      </c>
      <c r="G74" s="34">
        <f t="shared" si="8"/>
        <v>1660000</v>
      </c>
      <c r="H74" s="34">
        <f t="shared" si="6"/>
        <v>8300000</v>
      </c>
      <c r="I74" s="201">
        <f t="shared" si="7"/>
        <v>16.666666666666664</v>
      </c>
      <c r="J74" s="221"/>
      <c r="K74" s="1"/>
    </row>
    <row r="75" spans="1:11" ht="15">
      <c r="A75" s="33">
        <v>13310102</v>
      </c>
      <c r="B75" s="256" t="s">
        <v>35</v>
      </c>
      <c r="C75" s="257"/>
      <c r="D75" s="71">
        <v>8585000</v>
      </c>
      <c r="E75" s="34">
        <v>715000</v>
      </c>
      <c r="F75" s="34">
        <v>715000</v>
      </c>
      <c r="G75" s="34">
        <f t="shared" si="8"/>
        <v>1430000</v>
      </c>
      <c r="H75" s="34">
        <f t="shared" si="6"/>
        <v>7155000</v>
      </c>
      <c r="I75" s="201">
        <f t="shared" si="7"/>
        <v>16.656959813628422</v>
      </c>
      <c r="J75" s="221"/>
      <c r="K75" s="247">
        <f>1390901000-D83</f>
        <v>0</v>
      </c>
    </row>
    <row r="76" spans="1:11" ht="15">
      <c r="A76" s="33">
        <v>13310102</v>
      </c>
      <c r="B76" s="314" t="s">
        <v>1174</v>
      </c>
      <c r="C76" s="314"/>
      <c r="D76" s="34">
        <v>8000000</v>
      </c>
      <c r="E76" s="34">
        <v>666666.6666666667</v>
      </c>
      <c r="F76" s="34">
        <v>666666.6666666667</v>
      </c>
      <c r="G76" s="34">
        <f t="shared" si="8"/>
        <v>1333333.3333333335</v>
      </c>
      <c r="H76" s="34">
        <f t="shared" si="6"/>
        <v>6666666.666666666</v>
      </c>
      <c r="I76" s="201">
        <f t="shared" si="7"/>
        <v>16.666666666666668</v>
      </c>
      <c r="J76" s="221"/>
      <c r="K76" s="1"/>
    </row>
    <row r="77" spans="1:11" ht="15">
      <c r="A77" s="33">
        <v>13310102</v>
      </c>
      <c r="B77" s="311" t="s">
        <v>1176</v>
      </c>
      <c r="C77" s="312"/>
      <c r="D77" s="71">
        <v>9014000</v>
      </c>
      <c r="E77" s="34">
        <v>751166.6666666666</v>
      </c>
      <c r="F77" s="34">
        <v>751166.6666666666</v>
      </c>
      <c r="G77" s="34">
        <f t="shared" si="8"/>
        <v>1502333.3333333333</v>
      </c>
      <c r="H77" s="34">
        <f t="shared" si="6"/>
        <v>7511666.666666667</v>
      </c>
      <c r="I77" s="201">
        <f t="shared" si="7"/>
        <v>16.666666666666664</v>
      </c>
      <c r="J77" s="221"/>
      <c r="K77" s="247"/>
    </row>
    <row r="78" spans="1:11" ht="15">
      <c r="A78" s="33">
        <v>13310102</v>
      </c>
      <c r="B78" s="311" t="s">
        <v>1190</v>
      </c>
      <c r="C78" s="312"/>
      <c r="D78" s="71">
        <v>8000000</v>
      </c>
      <c r="E78" s="34">
        <v>666666.6666666667</v>
      </c>
      <c r="F78" s="34">
        <v>666666.6666666667</v>
      </c>
      <c r="G78" s="34">
        <f t="shared" si="8"/>
        <v>1333333.3333333335</v>
      </c>
      <c r="H78" s="34">
        <f t="shared" si="6"/>
        <v>6666666.666666666</v>
      </c>
      <c r="I78" s="201">
        <f t="shared" si="7"/>
        <v>16.666666666666668</v>
      </c>
      <c r="J78" s="221"/>
      <c r="K78" s="1"/>
    </row>
    <row r="79" spans="1:11" ht="15">
      <c r="A79" s="33">
        <v>13310102</v>
      </c>
      <c r="B79" s="311" t="s">
        <v>1178</v>
      </c>
      <c r="C79" s="312"/>
      <c r="D79" s="71">
        <v>8000000</v>
      </c>
      <c r="E79" s="34">
        <v>666666.6666666667</v>
      </c>
      <c r="F79" s="34">
        <v>666666.6666666667</v>
      </c>
      <c r="G79" s="34">
        <f t="shared" si="8"/>
        <v>1333333.3333333335</v>
      </c>
      <c r="H79" s="34">
        <f t="shared" si="6"/>
        <v>6666666.666666666</v>
      </c>
      <c r="I79" s="201">
        <f t="shared" si="7"/>
        <v>16.666666666666668</v>
      </c>
      <c r="J79" s="221"/>
      <c r="K79" s="1"/>
    </row>
    <row r="80" spans="1:11" ht="15">
      <c r="A80" s="33">
        <v>13310102</v>
      </c>
      <c r="B80" s="311" t="s">
        <v>1179</v>
      </c>
      <c r="C80" s="312"/>
      <c r="D80" s="71">
        <v>9960000</v>
      </c>
      <c r="E80" s="34">
        <v>830000</v>
      </c>
      <c r="F80" s="34">
        <v>830000</v>
      </c>
      <c r="G80" s="34">
        <f t="shared" si="8"/>
        <v>1660000</v>
      </c>
      <c r="H80" s="34">
        <f t="shared" si="6"/>
        <v>8300000</v>
      </c>
      <c r="I80" s="201">
        <f t="shared" si="7"/>
        <v>16.666666666666664</v>
      </c>
      <c r="J80" s="221"/>
      <c r="K80" s="1"/>
    </row>
    <row r="81" spans="1:11" ht="15">
      <c r="A81" s="33">
        <v>13310102</v>
      </c>
      <c r="B81" s="314" t="s">
        <v>1181</v>
      </c>
      <c r="C81" s="314"/>
      <c r="D81" s="34">
        <v>8296000</v>
      </c>
      <c r="E81" s="34">
        <v>595500</v>
      </c>
      <c r="F81" s="34">
        <v>595500</v>
      </c>
      <c r="G81" s="34">
        <f t="shared" si="8"/>
        <v>1191000</v>
      </c>
      <c r="H81" s="34">
        <f t="shared" si="6"/>
        <v>7105000</v>
      </c>
      <c r="I81" s="201">
        <f t="shared" si="7"/>
        <v>14.356316297010608</v>
      </c>
      <c r="J81" s="221"/>
      <c r="K81" s="1"/>
    </row>
    <row r="82" spans="1:11" ht="15">
      <c r="A82" s="33">
        <v>13310102</v>
      </c>
      <c r="B82" s="341" t="s">
        <v>1182</v>
      </c>
      <c r="C82" s="342"/>
      <c r="D82" s="58">
        <v>6000000</v>
      </c>
      <c r="E82" s="34">
        <v>595500</v>
      </c>
      <c r="F82" s="34">
        <v>595500</v>
      </c>
      <c r="G82" s="34">
        <f t="shared" si="8"/>
        <v>1191000</v>
      </c>
      <c r="H82" s="34">
        <f t="shared" si="6"/>
        <v>4809000</v>
      </c>
      <c r="I82" s="201">
        <f t="shared" si="7"/>
        <v>19.85</v>
      </c>
      <c r="J82" s="221"/>
      <c r="K82" s="1"/>
    </row>
    <row r="83" spans="1:11" ht="15.75" thickBot="1">
      <c r="A83" s="40"/>
      <c r="B83" s="328" t="s">
        <v>36</v>
      </c>
      <c r="C83" s="328"/>
      <c r="D83" s="49">
        <f>+D67+D68+D69+D70+D71+D72+D73+D74+D75+D76+D77+D78+D79+D80+D81+D82</f>
        <v>1390901000</v>
      </c>
      <c r="E83" s="49">
        <f>SUM(E67:E82)</f>
        <v>300115417.17000014</v>
      </c>
      <c r="F83" s="49">
        <f>SUM(F67:F82)</f>
        <v>113779171.33333336</v>
      </c>
      <c r="G83" s="49">
        <f>SUM(G67:G82)</f>
        <v>413894588.5033333</v>
      </c>
      <c r="H83" s="49">
        <f>SUM(H67:H82)</f>
        <v>977006411.4966664</v>
      </c>
      <c r="I83" s="45">
        <f t="shared" si="7"/>
        <v>29.75730037603922</v>
      </c>
      <c r="J83" s="221"/>
      <c r="K83" s="1"/>
    </row>
    <row r="84" spans="1:11" ht="15.75" thickTop="1">
      <c r="A84" s="2"/>
      <c r="B84" s="329" t="s">
        <v>1148</v>
      </c>
      <c r="C84" s="329"/>
      <c r="D84" s="19"/>
      <c r="E84" s="19"/>
      <c r="F84" s="19"/>
      <c r="G84" s="19"/>
      <c r="H84" s="19"/>
      <c r="I84" s="171"/>
      <c r="K84" s="1"/>
    </row>
    <row r="85" spans="1:11" ht="15">
      <c r="A85" s="33">
        <v>130120</v>
      </c>
      <c r="B85" s="314" t="s">
        <v>1163</v>
      </c>
      <c r="C85" s="314"/>
      <c r="D85" s="206">
        <f>54730000</f>
        <v>54730000</v>
      </c>
      <c r="E85" s="34">
        <v>0</v>
      </c>
      <c r="F85" s="35">
        <v>0</v>
      </c>
      <c r="G85" s="34">
        <f>+E85+F85</f>
        <v>0</v>
      </c>
      <c r="H85" s="34">
        <f>+D85-G85</f>
        <v>54730000</v>
      </c>
      <c r="I85" s="156">
        <f>G85/D85*100</f>
        <v>0</v>
      </c>
      <c r="K85" s="1"/>
    </row>
    <row r="86" spans="1:11" ht="15">
      <c r="A86" s="33">
        <v>130120</v>
      </c>
      <c r="B86" s="311" t="s">
        <v>1210</v>
      </c>
      <c r="C86" s="312"/>
      <c r="D86" s="206">
        <v>1500000000</v>
      </c>
      <c r="E86" s="34">
        <v>0</v>
      </c>
      <c r="F86" s="35">
        <v>0</v>
      </c>
      <c r="G86" s="34">
        <f>+E86+F86</f>
        <v>0</v>
      </c>
      <c r="H86" s="34">
        <f>+D86-G86</f>
        <v>1500000000</v>
      </c>
      <c r="I86" s="156">
        <f>G86/D86*100</f>
        <v>0</v>
      </c>
      <c r="K86" s="1"/>
    </row>
    <row r="87" spans="1:11" ht="15">
      <c r="A87" s="33">
        <v>130120</v>
      </c>
      <c r="B87" s="260" t="s">
        <v>1228</v>
      </c>
      <c r="C87" s="261"/>
      <c r="D87" s="206">
        <v>0</v>
      </c>
      <c r="E87" s="34"/>
      <c r="F87" s="35"/>
      <c r="G87" s="34"/>
      <c r="H87" s="34"/>
      <c r="I87" s="156"/>
      <c r="K87" s="1"/>
    </row>
    <row r="88" spans="1:11" ht="15">
      <c r="A88" s="33">
        <v>130120</v>
      </c>
      <c r="B88" s="260" t="s">
        <v>1229</v>
      </c>
      <c r="C88" s="261"/>
      <c r="D88" s="206">
        <v>0</v>
      </c>
      <c r="E88" s="34"/>
      <c r="F88" s="35"/>
      <c r="G88" s="34"/>
      <c r="H88" s="34"/>
      <c r="I88" s="156"/>
      <c r="K88" s="1"/>
    </row>
    <row r="89" spans="1:11" ht="15">
      <c r="A89" s="33">
        <v>130120</v>
      </c>
      <c r="B89" s="256" t="s">
        <v>1205</v>
      </c>
      <c r="C89" s="257"/>
      <c r="D89" s="206">
        <v>106206350</v>
      </c>
      <c r="E89" s="34">
        <v>0</v>
      </c>
      <c r="F89" s="35">
        <v>0</v>
      </c>
      <c r="G89" s="34">
        <f>+E89+F89</f>
        <v>0</v>
      </c>
      <c r="H89" s="34">
        <f>+D89-G89</f>
        <v>106206350</v>
      </c>
      <c r="I89" s="156">
        <f>G89/D89*100</f>
        <v>0</v>
      </c>
      <c r="K89" s="1"/>
    </row>
    <row r="90" spans="1:11" ht="15">
      <c r="A90" s="33">
        <v>130114</v>
      </c>
      <c r="B90" s="311" t="s">
        <v>1209</v>
      </c>
      <c r="C90" s="312"/>
      <c r="D90" s="206">
        <v>483611000</v>
      </c>
      <c r="E90" s="34">
        <v>0</v>
      </c>
      <c r="F90" s="34">
        <v>118355153.87</v>
      </c>
      <c r="G90" s="34">
        <f>+E90+F90</f>
        <v>118355153.87</v>
      </c>
      <c r="H90" s="34">
        <f>+D90-G90</f>
        <v>365255846.13</v>
      </c>
      <c r="I90" s="156">
        <f>G90/D90*100</f>
        <v>24.473213775120914</v>
      </c>
      <c r="K90" s="259"/>
    </row>
    <row r="91" spans="1:9" ht="15">
      <c r="A91" s="205"/>
      <c r="B91" s="330" t="s">
        <v>1149</v>
      </c>
      <c r="C91" s="330"/>
      <c r="D91" s="213">
        <f>SUM(D85:D90)</f>
        <v>2144547350</v>
      </c>
      <c r="E91" s="213">
        <f>SUM(E85:E90)</f>
        <v>0</v>
      </c>
      <c r="F91" s="213">
        <f>SUM(F85:F90)</f>
        <v>118355153.87</v>
      </c>
      <c r="G91" s="213">
        <f>SUM(G85:G90)</f>
        <v>118355153.87</v>
      </c>
      <c r="H91" s="213">
        <f>SUM(H85:H90)</f>
        <v>2026192196.13</v>
      </c>
      <c r="I91" s="156">
        <f>G91/D91*100</f>
        <v>5.518887417897302</v>
      </c>
    </row>
    <row r="92" spans="1:11" ht="15">
      <c r="A92" s="2"/>
      <c r="B92" s="329" t="s">
        <v>1152</v>
      </c>
      <c r="C92" s="329"/>
      <c r="D92" s="214"/>
      <c r="E92" s="19"/>
      <c r="F92" s="19"/>
      <c r="G92" s="19"/>
      <c r="H92" s="19"/>
      <c r="I92" s="171"/>
      <c r="K92" s="1"/>
    </row>
    <row r="93" spans="1:11" ht="15">
      <c r="A93" s="33">
        <v>13110105</v>
      </c>
      <c r="B93" s="256" t="s">
        <v>1203</v>
      </c>
      <c r="C93" s="257"/>
      <c r="D93" s="206">
        <v>446310000</v>
      </c>
      <c r="E93" s="34">
        <v>0</v>
      </c>
      <c r="F93" s="216">
        <v>0</v>
      </c>
      <c r="G93" s="34">
        <f>+E93+F93</f>
        <v>0</v>
      </c>
      <c r="H93" s="34">
        <f aca="true" t="shared" si="9" ref="H93:H103">+D93-G93</f>
        <v>446310000</v>
      </c>
      <c r="I93" s="156">
        <f aca="true" t="shared" si="10" ref="I93:I105">G93/D93*100</f>
        <v>0</v>
      </c>
      <c r="K93" s="161"/>
    </row>
    <row r="94" spans="1:11" ht="15">
      <c r="A94" s="33">
        <v>13110105</v>
      </c>
      <c r="B94" s="311" t="s">
        <v>1155</v>
      </c>
      <c r="C94" s="312"/>
      <c r="D94" s="206">
        <v>511982000</v>
      </c>
      <c r="E94" s="206">
        <v>0</v>
      </c>
      <c r="F94" s="206">
        <v>0</v>
      </c>
      <c r="G94" s="34">
        <f aca="true" t="shared" si="11" ref="G94:G103">+E94+F94</f>
        <v>0</v>
      </c>
      <c r="H94" s="34">
        <f t="shared" si="9"/>
        <v>511982000</v>
      </c>
      <c r="I94" s="156">
        <f t="shared" si="10"/>
        <v>0</v>
      </c>
      <c r="K94" s="1"/>
    </row>
    <row r="95" spans="1:11" ht="15">
      <c r="A95" s="33">
        <v>13120158</v>
      </c>
      <c r="B95" s="260" t="s">
        <v>1226</v>
      </c>
      <c r="C95" s="257"/>
      <c r="D95" s="206">
        <v>98970000</v>
      </c>
      <c r="E95" s="34">
        <v>0</v>
      </c>
      <c r="F95" s="206">
        <v>73193000</v>
      </c>
      <c r="G95" s="34">
        <f t="shared" si="11"/>
        <v>73193000</v>
      </c>
      <c r="H95" s="34">
        <f t="shared" si="9"/>
        <v>25777000</v>
      </c>
      <c r="I95" s="156">
        <f t="shared" si="10"/>
        <v>73.95473375770435</v>
      </c>
      <c r="K95" s="1"/>
    </row>
    <row r="96" spans="1:11" ht="15">
      <c r="A96" s="33">
        <v>13120159</v>
      </c>
      <c r="B96" s="256" t="s">
        <v>1206</v>
      </c>
      <c r="C96" s="257"/>
      <c r="D96" s="206">
        <v>328900000</v>
      </c>
      <c r="E96" s="34">
        <v>0</v>
      </c>
      <c r="F96" s="206"/>
      <c r="G96" s="34">
        <f t="shared" si="11"/>
        <v>0</v>
      </c>
      <c r="H96" s="34">
        <f t="shared" si="9"/>
        <v>328900000</v>
      </c>
      <c r="I96" s="156">
        <f t="shared" si="10"/>
        <v>0</v>
      </c>
      <c r="K96" s="1"/>
    </row>
    <row r="97" spans="1:11" ht="15">
      <c r="A97" s="33">
        <v>130123</v>
      </c>
      <c r="B97" s="256" t="s">
        <v>1186</v>
      </c>
      <c r="C97" s="257"/>
      <c r="D97" s="206">
        <v>125245000</v>
      </c>
      <c r="E97" s="34">
        <v>132545000</v>
      </c>
      <c r="F97" s="206">
        <v>0</v>
      </c>
      <c r="G97" s="34">
        <f t="shared" si="11"/>
        <v>132545000</v>
      </c>
      <c r="H97" s="34">
        <f t="shared" si="9"/>
        <v>-7300000</v>
      </c>
      <c r="I97" s="156">
        <f t="shared" si="10"/>
        <v>105.82857599105753</v>
      </c>
      <c r="K97" s="1"/>
    </row>
    <row r="98" spans="1:11" ht="15">
      <c r="A98" s="33">
        <v>13120184</v>
      </c>
      <c r="B98" s="256" t="s">
        <v>1207</v>
      </c>
      <c r="C98" s="257"/>
      <c r="D98" s="206">
        <v>35500000</v>
      </c>
      <c r="E98" s="34">
        <v>0</v>
      </c>
      <c r="F98" s="34"/>
      <c r="G98" s="34">
        <f t="shared" si="11"/>
        <v>0</v>
      </c>
      <c r="H98" s="34">
        <f t="shared" si="9"/>
        <v>35500000</v>
      </c>
      <c r="I98" s="156">
        <f t="shared" si="10"/>
        <v>0</v>
      </c>
      <c r="K98" s="1"/>
    </row>
    <row r="99" spans="1:11" ht="15">
      <c r="A99" s="33">
        <v>13210127</v>
      </c>
      <c r="B99" s="314" t="s">
        <v>1202</v>
      </c>
      <c r="C99" s="314"/>
      <c r="D99" s="206">
        <v>195171000</v>
      </c>
      <c r="E99" s="34">
        <v>0</v>
      </c>
      <c r="F99" s="34">
        <v>0</v>
      </c>
      <c r="G99" s="34">
        <f t="shared" si="11"/>
        <v>0</v>
      </c>
      <c r="H99" s="34">
        <f t="shared" si="9"/>
        <v>195171000</v>
      </c>
      <c r="I99" s="156">
        <f t="shared" si="10"/>
        <v>0</v>
      </c>
      <c r="K99" s="1"/>
    </row>
    <row r="100" spans="1:11" ht="15">
      <c r="A100" s="33">
        <v>130118</v>
      </c>
      <c r="B100" s="314" t="s">
        <v>1157</v>
      </c>
      <c r="C100" s="314"/>
      <c r="D100" s="206">
        <v>5733000</v>
      </c>
      <c r="E100" s="34">
        <v>0</v>
      </c>
      <c r="F100" s="34">
        <v>0</v>
      </c>
      <c r="G100" s="34">
        <f t="shared" si="11"/>
        <v>0</v>
      </c>
      <c r="H100" s="34">
        <f t="shared" si="9"/>
        <v>5733000</v>
      </c>
      <c r="I100" s="156">
        <f t="shared" si="10"/>
        <v>0</v>
      </c>
      <c r="K100" s="1"/>
    </row>
    <row r="101" spans="1:11" ht="15">
      <c r="A101" s="33">
        <v>130108</v>
      </c>
      <c r="B101" s="256" t="s">
        <v>1193</v>
      </c>
      <c r="C101" s="257"/>
      <c r="D101" s="206">
        <v>698377592</v>
      </c>
      <c r="E101" s="206">
        <v>0</v>
      </c>
      <c r="F101" s="206">
        <v>0</v>
      </c>
      <c r="G101" s="34">
        <f t="shared" si="11"/>
        <v>0</v>
      </c>
      <c r="H101" s="34">
        <f t="shared" si="9"/>
        <v>698377592</v>
      </c>
      <c r="I101" s="156">
        <f t="shared" si="10"/>
        <v>0</v>
      </c>
      <c r="K101" s="1"/>
    </row>
    <row r="102" spans="1:11" ht="15">
      <c r="A102" s="33">
        <v>130107</v>
      </c>
      <c r="B102" s="311" t="s">
        <v>168</v>
      </c>
      <c r="C102" s="312"/>
      <c r="D102" s="206">
        <v>16453446.77</v>
      </c>
      <c r="E102" s="216">
        <v>0</v>
      </c>
      <c r="F102" s="34">
        <v>0</v>
      </c>
      <c r="G102" s="34">
        <f t="shared" si="11"/>
        <v>0</v>
      </c>
      <c r="H102" s="34">
        <f t="shared" si="9"/>
        <v>16453446.77</v>
      </c>
      <c r="I102" s="156">
        <f t="shared" si="10"/>
        <v>0</v>
      </c>
      <c r="K102" s="1"/>
    </row>
    <row r="103" spans="1:11" ht="15">
      <c r="A103" s="33">
        <v>130121</v>
      </c>
      <c r="B103" s="311" t="s">
        <v>1086</v>
      </c>
      <c r="C103" s="312"/>
      <c r="D103" s="206">
        <v>1600000000</v>
      </c>
      <c r="E103" s="34">
        <v>243312975</v>
      </c>
      <c r="F103" s="34">
        <v>235280975</v>
      </c>
      <c r="G103" s="34">
        <f t="shared" si="11"/>
        <v>478593950</v>
      </c>
      <c r="H103" s="34">
        <f t="shared" si="9"/>
        <v>1121406050</v>
      </c>
      <c r="I103" s="156">
        <f t="shared" si="10"/>
        <v>29.912121874999997</v>
      </c>
      <c r="K103" s="1"/>
    </row>
    <row r="104" spans="1:9" ht="15">
      <c r="A104" s="205"/>
      <c r="B104" s="330" t="s">
        <v>1153</v>
      </c>
      <c r="C104" s="330"/>
      <c r="D104" s="172">
        <f>SUM(D93:D103)</f>
        <v>4062642038.77</v>
      </c>
      <c r="E104" s="172">
        <f>SUM(E93:E103)</f>
        <v>375857975</v>
      </c>
      <c r="F104" s="172">
        <f>SUM(F93:F103)</f>
        <v>308473975</v>
      </c>
      <c r="G104" s="172">
        <f>SUM(G93:G103)</f>
        <v>684331950</v>
      </c>
      <c r="H104" s="172">
        <f>SUM(H93:H103)</f>
        <v>3378310088.77</v>
      </c>
      <c r="I104" s="156">
        <f t="shared" si="10"/>
        <v>16.844505212848816</v>
      </c>
    </row>
    <row r="105" spans="1:9" ht="15.75" thickBot="1">
      <c r="A105" s="217"/>
      <c r="B105" s="328" t="s">
        <v>43</v>
      </c>
      <c r="C105" s="328"/>
      <c r="D105" s="219">
        <f>+D61+D65+D83+D91+D104</f>
        <v>29983894368.77</v>
      </c>
      <c r="E105" s="219">
        <f>+E61+E65+E83+E91+E104</f>
        <v>3282297327.17</v>
      </c>
      <c r="F105" s="219">
        <f>+F61+F65+F83+F91+F104</f>
        <v>1930160029.3133335</v>
      </c>
      <c r="G105" s="219">
        <f>+G61+G65+G83+G91+G104</f>
        <v>5212457356.483334</v>
      </c>
      <c r="H105" s="219">
        <f>H61+H65+H83+H91+H104</f>
        <v>26573984332.286667</v>
      </c>
      <c r="I105" s="156">
        <f t="shared" si="10"/>
        <v>17.384190633730405</v>
      </c>
    </row>
    <row r="106" spans="1:9" ht="15.75" thickTop="1">
      <c r="A106" s="2"/>
      <c r="B106" s="16"/>
      <c r="C106" s="16"/>
      <c r="D106" s="14"/>
      <c r="E106" s="14"/>
      <c r="F106" s="14"/>
      <c r="G106" s="14"/>
      <c r="H106" s="14"/>
      <c r="I106" s="15"/>
    </row>
    <row r="108" ht="15">
      <c r="F108" s="262"/>
    </row>
  </sheetData>
  <sheetProtection/>
  <mergeCells count="86">
    <mergeCell ref="B102:C102"/>
    <mergeCell ref="B103:C103"/>
    <mergeCell ref="B104:C104"/>
    <mergeCell ref="B105:C105"/>
    <mergeCell ref="B90:C90"/>
    <mergeCell ref="B91:C91"/>
    <mergeCell ref="B92:C92"/>
    <mergeCell ref="B94:C94"/>
    <mergeCell ref="B99:C99"/>
    <mergeCell ref="B100:C100"/>
    <mergeCell ref="B81:C81"/>
    <mergeCell ref="B82:C82"/>
    <mergeCell ref="B83:C83"/>
    <mergeCell ref="B84:C84"/>
    <mergeCell ref="B85:C85"/>
    <mergeCell ref="B86:C86"/>
    <mergeCell ref="B74:C74"/>
    <mergeCell ref="B76:C76"/>
    <mergeCell ref="B77:C77"/>
    <mergeCell ref="B78:C78"/>
    <mergeCell ref="B79:C79"/>
    <mergeCell ref="B80:C80"/>
    <mergeCell ref="B67:C67"/>
    <mergeCell ref="B68:C68"/>
    <mergeCell ref="B69:C69"/>
    <mergeCell ref="B71:C71"/>
    <mergeCell ref="B72:C72"/>
    <mergeCell ref="B73:C73"/>
    <mergeCell ref="B61:C61"/>
    <mergeCell ref="B62:C62"/>
    <mergeCell ref="A63:C63"/>
    <mergeCell ref="B64:C64"/>
    <mergeCell ref="B65:C65"/>
    <mergeCell ref="B66:C66"/>
    <mergeCell ref="B49:C49"/>
    <mergeCell ref="B52:C52"/>
    <mergeCell ref="D53:I53"/>
    <mergeCell ref="B54:C54"/>
    <mergeCell ref="B58:C58"/>
    <mergeCell ref="B60:C6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28:C28"/>
    <mergeCell ref="B29:C29"/>
    <mergeCell ref="B32:C32"/>
    <mergeCell ref="B33:C33"/>
    <mergeCell ref="B34:C34"/>
    <mergeCell ref="B36:C36"/>
    <mergeCell ref="B21:C21"/>
    <mergeCell ref="B22:C22"/>
    <mergeCell ref="B23:C23"/>
    <mergeCell ref="B24:C24"/>
    <mergeCell ref="B25:C25"/>
    <mergeCell ref="B27:C27"/>
    <mergeCell ref="B12:C12"/>
    <mergeCell ref="B13:C13"/>
    <mergeCell ref="B15:C15"/>
    <mergeCell ref="B17:C17"/>
    <mergeCell ref="B18:C18"/>
    <mergeCell ref="B19:C19"/>
    <mergeCell ref="B6:C6"/>
    <mergeCell ref="B7:C7"/>
    <mergeCell ref="B8:C8"/>
    <mergeCell ref="B9:C9"/>
    <mergeCell ref="B10:C10"/>
    <mergeCell ref="B11:C11"/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firstPageNumber="3" useFirstPageNumber="1" horizontalDpi="600" verticalDpi="600" orientation="landscape" scale="65" r:id="rId4"/>
  <headerFooter>
    <oddFooter>&amp;CPage &amp;P&amp;RTAARIFA fum 2018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29">
      <selection activeCell="F66" sqref="F66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2.8515625" style="1" customWidth="1"/>
    <col min="5" max="5" width="22.28125" style="1" customWidth="1"/>
    <col min="6" max="6" width="18.7109375" style="1" customWidth="1"/>
    <col min="7" max="7" width="18.57421875" style="0" customWidth="1"/>
    <col min="8" max="8" width="18.7109375" style="0" customWidth="1"/>
    <col min="9" max="9" width="7.851562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1222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1188</v>
      </c>
      <c r="E4" s="324" t="s">
        <v>1223</v>
      </c>
      <c r="F4" s="326" t="s">
        <v>1224</v>
      </c>
      <c r="G4" s="324" t="s">
        <v>1225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122770070.04</v>
      </c>
      <c r="F7" s="207">
        <v>0</v>
      </c>
      <c r="G7" s="60">
        <f aca="true" t="shared" si="0" ref="G7:G18">+E7+F7</f>
        <v>122770070.04</v>
      </c>
      <c r="H7" s="34">
        <f>+D7-G7</f>
        <v>1977229929.96</v>
      </c>
      <c r="I7" s="201">
        <f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2978029.63</v>
      </c>
      <c r="F8" s="207">
        <v>9124260.94</v>
      </c>
      <c r="G8" s="60">
        <f t="shared" si="0"/>
        <v>12102290.57</v>
      </c>
      <c r="H8" s="34">
        <f aca="true" t="shared" si="1" ref="H8:H18">+D8-G8</f>
        <v>987897709.43</v>
      </c>
      <c r="I8" s="201">
        <f aca="true" t="shared" si="2" ref="I8:I18">+G8/D8*100</f>
        <v>1.210229057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>
        <v>0</v>
      </c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3545500</v>
      </c>
      <c r="F10" s="66">
        <v>1297000</v>
      </c>
      <c r="G10" s="60">
        <f t="shared" si="0"/>
        <v>4842500</v>
      </c>
      <c r="H10" s="34">
        <f t="shared" si="1"/>
        <v>61397500</v>
      </c>
      <c r="I10" s="201">
        <f t="shared" si="2"/>
        <v>7.310537439613526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>
        <v>0</v>
      </c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1" t="s">
        <v>1215</v>
      </c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>
        <v>0</v>
      </c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3294400</v>
      </c>
      <c r="F13" s="207">
        <v>1687500</v>
      </c>
      <c r="G13" s="60">
        <f t="shared" si="0"/>
        <v>4981900</v>
      </c>
      <c r="H13" s="34">
        <f t="shared" si="1"/>
        <v>90442100</v>
      </c>
      <c r="I13" s="201">
        <f t="shared" si="2"/>
        <v>5.220803990610329</v>
      </c>
      <c r="J13" s="221"/>
      <c r="K13" s="1"/>
    </row>
    <row r="14" spans="1:11" ht="15">
      <c r="A14" s="46">
        <v>11310104</v>
      </c>
      <c r="B14" s="258" t="s">
        <v>1196</v>
      </c>
      <c r="C14" s="257"/>
      <c r="D14" s="71">
        <v>195000000</v>
      </c>
      <c r="E14" s="34">
        <v>200000</v>
      </c>
      <c r="F14" s="207">
        <v>30000</v>
      </c>
      <c r="G14" s="60">
        <f t="shared" si="0"/>
        <v>230000</v>
      </c>
      <c r="H14" s="34">
        <f t="shared" si="1"/>
        <v>194770000</v>
      </c>
      <c r="I14" s="201">
        <f t="shared" si="2"/>
        <v>0.11794871794871796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v>14785165.34</v>
      </c>
      <c r="F15" s="207">
        <f>6414162.17-3200000-1000000-500000</f>
        <v>1714162.17</v>
      </c>
      <c r="G15" s="60">
        <f t="shared" si="0"/>
        <v>16499327.51</v>
      </c>
      <c r="H15" s="34">
        <f t="shared" si="1"/>
        <v>52983672.49</v>
      </c>
      <c r="I15" s="201">
        <f t="shared" si="2"/>
        <v>23.74584791963502</v>
      </c>
      <c r="K15" s="1"/>
    </row>
    <row r="16" spans="1:11" ht="15">
      <c r="A16" s="46">
        <v>11460101</v>
      </c>
      <c r="B16" s="258" t="s">
        <v>1192</v>
      </c>
      <c r="C16" s="257"/>
      <c r="D16" s="71">
        <v>168000000</v>
      </c>
      <c r="E16" s="71">
        <v>0</v>
      </c>
      <c r="F16" s="207">
        <f>1000000+1500000</f>
        <v>2500000</v>
      </c>
      <c r="G16" s="60">
        <f t="shared" si="0"/>
        <v>2500000</v>
      </c>
      <c r="H16" s="34">
        <f t="shared" si="1"/>
        <v>165500000</v>
      </c>
      <c r="I16" s="201">
        <f t="shared" si="2"/>
        <v>1.488095238095238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91150</v>
      </c>
      <c r="F17" s="207">
        <v>0</v>
      </c>
      <c r="G17" s="60">
        <f t="shared" si="0"/>
        <v>91150</v>
      </c>
      <c r="H17" s="34">
        <f t="shared" si="1"/>
        <v>1608850</v>
      </c>
      <c r="I17" s="201">
        <f t="shared" si="2"/>
        <v>5.3617647058823525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3800000</v>
      </c>
      <c r="F18" s="207">
        <v>0</v>
      </c>
      <c r="G18" s="60">
        <f t="shared" si="0"/>
        <v>3800000</v>
      </c>
      <c r="H18" s="34">
        <f t="shared" si="1"/>
        <v>196200000</v>
      </c>
      <c r="I18" s="201">
        <f t="shared" si="2"/>
        <v>1.9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151464315.01</v>
      </c>
      <c r="F19" s="49">
        <f>+F7+F8+F9+F10+F11+F12+F13+F14+F15+F16+F17+F18</f>
        <v>16352923.11</v>
      </c>
      <c r="G19" s="49">
        <f>+G7+G8+G9+G10+G11+G12+G13+G14+G15+G16+G17+G18</f>
        <v>167817238.12</v>
      </c>
      <c r="H19" s="49">
        <f>H7+H8+H9+H10+H11+H12+H13+H15+H16+H17+H18</f>
        <v>3562019761.8799996</v>
      </c>
      <c r="I19" s="201">
        <f>+G19/D19*100</f>
        <v>4.2760265708133325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1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80000</v>
      </c>
      <c r="F22" s="66">
        <v>40000</v>
      </c>
      <c r="G22" s="34">
        <f>+E22+F22</f>
        <v>120000</v>
      </c>
      <c r="H22" s="34">
        <f>+D22-G22</f>
        <v>4680000</v>
      </c>
      <c r="I22" s="201">
        <f>G22/D22*100</f>
        <v>2.5</v>
      </c>
      <c r="K22" s="1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9260000</v>
      </c>
      <c r="F23" s="164">
        <v>7050000</v>
      </c>
      <c r="G23" s="34">
        <f>+E23+F23</f>
        <v>16310000</v>
      </c>
      <c r="H23" s="34">
        <f>+D23-G23</f>
        <v>84890000</v>
      </c>
      <c r="I23" s="201">
        <f>G23/D23*100</f>
        <v>16.116600790513836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1797600</v>
      </c>
      <c r="F24" s="34">
        <v>374900</v>
      </c>
      <c r="G24" s="34">
        <f>+E24+F24</f>
        <v>2172500</v>
      </c>
      <c r="H24" s="34">
        <f>+D24-G24</f>
        <v>20591500</v>
      </c>
      <c r="I24" s="201">
        <f>G24/D24*100</f>
        <v>9.543577578632929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11137600</v>
      </c>
      <c r="F25" s="49">
        <f>SUM(F22:F24)</f>
        <v>7464900</v>
      </c>
      <c r="G25" s="49">
        <f>SUM(G22:G24)</f>
        <v>18602500</v>
      </c>
      <c r="H25" s="49">
        <f>SUM(H22:H24)</f>
        <v>110161500</v>
      </c>
      <c r="I25" s="45">
        <f>G25/D25*100</f>
        <v>14.446972756360474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47" t="s">
        <v>53</v>
      </c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2065000</v>
      </c>
      <c r="F28" s="34">
        <v>465000</v>
      </c>
      <c r="G28" s="34">
        <f aca="true" t="shared" si="3" ref="G28:G33">+E28+F28</f>
        <v>2530000</v>
      </c>
      <c r="H28" s="34">
        <f aca="true" t="shared" si="4" ref="H28:H33">+D28-G28</f>
        <v>112470000</v>
      </c>
      <c r="I28" s="201">
        <f aca="true" t="shared" si="5" ref="I28:I33">G28/D28*100</f>
        <v>2.1999999999999997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27469519.99</v>
      </c>
      <c r="F29" s="164">
        <v>4200000</v>
      </c>
      <c r="G29" s="34">
        <f t="shared" si="3"/>
        <v>31669519.99</v>
      </c>
      <c r="H29" s="34">
        <f t="shared" si="4"/>
        <v>51330480.010000005</v>
      </c>
      <c r="I29" s="201">
        <f t="shared" si="5"/>
        <v>38.15604818072289</v>
      </c>
      <c r="K29" s="1"/>
    </row>
    <row r="30" spans="1:11" ht="15">
      <c r="A30" s="46">
        <v>110806</v>
      </c>
      <c r="B30" s="255" t="s">
        <v>46</v>
      </c>
      <c r="C30" s="255"/>
      <c r="D30" s="34">
        <v>31000000</v>
      </c>
      <c r="E30" s="34">
        <v>0</v>
      </c>
      <c r="F30" s="34">
        <v>0</v>
      </c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55" t="s">
        <v>47</v>
      </c>
      <c r="C31" s="255"/>
      <c r="D31" s="34">
        <v>15000000</v>
      </c>
      <c r="E31" s="34">
        <v>620000</v>
      </c>
      <c r="F31" s="34">
        <v>515000</v>
      </c>
      <c r="G31" s="34">
        <f t="shared" si="3"/>
        <v>1135000</v>
      </c>
      <c r="H31" s="34">
        <f t="shared" si="4"/>
        <v>13865000</v>
      </c>
      <c r="I31" s="201">
        <f t="shared" si="5"/>
        <v>7.566666666666666</v>
      </c>
      <c r="J31" s="221"/>
      <c r="K31" s="247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15245000</v>
      </c>
      <c r="F32" s="34">
        <f>64715500-4200000-515000</f>
        <v>60000500</v>
      </c>
      <c r="G32" s="34">
        <f t="shared" si="3"/>
        <v>75245500</v>
      </c>
      <c r="H32" s="34">
        <f t="shared" si="4"/>
        <v>24754500</v>
      </c>
      <c r="I32" s="201">
        <f t="shared" si="5"/>
        <v>75.24549999999999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0</v>
      </c>
      <c r="F33" s="34">
        <v>0</v>
      </c>
      <c r="G33" s="34">
        <f t="shared" si="3"/>
        <v>0</v>
      </c>
      <c r="H33" s="34">
        <f t="shared" si="4"/>
        <v>10000000</v>
      </c>
      <c r="I33" s="201">
        <f t="shared" si="5"/>
        <v>0</v>
      </c>
      <c r="K33" s="247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45399519.989999995</v>
      </c>
      <c r="F34" s="49">
        <f>SUM(F28:F33)</f>
        <v>65180500</v>
      </c>
      <c r="G34" s="49">
        <f>SUM(G28:G33)</f>
        <v>110580019.99</v>
      </c>
      <c r="H34" s="49">
        <f>SUM(H28:H33)</f>
        <v>243419980.01</v>
      </c>
      <c r="I34" s="45">
        <f>G34/D34*100</f>
        <v>31.237293782485875</v>
      </c>
      <c r="K34" s="247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47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47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66">
        <v>9320500</v>
      </c>
      <c r="F37" s="66">
        <v>3200000</v>
      </c>
      <c r="G37" s="34">
        <f>+E37+F37</f>
        <v>12520500</v>
      </c>
      <c r="H37" s="34">
        <f>+D37-G37</f>
        <v>197239500</v>
      </c>
      <c r="I37" s="201">
        <f>G37/D37*100</f>
        <v>5.968964530892448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207">
        <v>680000</v>
      </c>
      <c r="F38" s="207">
        <f>300000+1500</f>
        <v>301500</v>
      </c>
      <c r="G38" s="34">
        <f>+E38+F38</f>
        <v>981500</v>
      </c>
      <c r="H38" s="34">
        <f>+D38-G38</f>
        <v>4418500</v>
      </c>
      <c r="I38" s="201">
        <f>G38/D38*100</f>
        <v>18.175925925925927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10000500</v>
      </c>
      <c r="F40" s="49">
        <f>SUM(F37:F39)</f>
        <v>3501500</v>
      </c>
      <c r="G40" s="49">
        <f>SUM(G37:G39)</f>
        <v>13502000</v>
      </c>
      <c r="H40" s="49">
        <f>SUM(H37:H39)</f>
        <v>202658000</v>
      </c>
      <c r="I40" s="45">
        <f>G40/D40*100</f>
        <v>6.246299037749814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2386000</v>
      </c>
      <c r="F43" s="66">
        <f>250000+1680000</f>
        <v>1930000</v>
      </c>
      <c r="G43" s="34">
        <f>+E43+F43</f>
        <v>4316000</v>
      </c>
      <c r="H43" s="34">
        <f>+D43-G43</f>
        <v>195684000</v>
      </c>
      <c r="I43" s="224">
        <f>G43/D43*100</f>
        <v>2.158</v>
      </c>
      <c r="K43" s="1"/>
    </row>
    <row r="44" spans="1:11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2386000</v>
      </c>
      <c r="F44" s="49">
        <f>SUM(F43:F43)</f>
        <v>1930000</v>
      </c>
      <c r="G44" s="44">
        <f>+E44+F44</f>
        <v>4316000</v>
      </c>
      <c r="H44" s="49">
        <f>SUM(H43:H43)</f>
        <v>195684000</v>
      </c>
      <c r="I44" s="224">
        <f>G44/D44*100</f>
        <v>2.158</v>
      </c>
      <c r="K44" s="1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1322000</v>
      </c>
      <c r="F46" s="66">
        <f>900000+32000</f>
        <v>932000</v>
      </c>
      <c r="G46" s="34">
        <f>+E46+F46</f>
        <v>2254000</v>
      </c>
      <c r="H46" s="34">
        <f>+D46-G46</f>
        <v>3746000</v>
      </c>
      <c r="I46" s="201">
        <f>G46/D46*100</f>
        <v>37.56666666666666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1322000</v>
      </c>
      <c r="F48" s="49">
        <f>SUM(F46:F47)</f>
        <v>932000</v>
      </c>
      <c r="G48" s="49">
        <f>SUM(G46:G47)</f>
        <v>2254000</v>
      </c>
      <c r="H48" s="49">
        <f>SUM(H46:H47)</f>
        <v>4246000</v>
      </c>
      <c r="I48" s="45">
        <f>G48/D48*100</f>
        <v>34.676923076923075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0</v>
      </c>
      <c r="F50" s="34">
        <v>3150000</v>
      </c>
      <c r="G50" s="34">
        <f>+E50+F50</f>
        <v>3150000</v>
      </c>
      <c r="H50" s="39">
        <f>+D50-G50</f>
        <v>5250000</v>
      </c>
      <c r="I50" s="201">
        <f>G50/D50*100</f>
        <v>37.5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1130000</v>
      </c>
      <c r="F51" s="71">
        <v>980000</v>
      </c>
      <c r="G51" s="71">
        <f>+E51+F51</f>
        <v>2110000</v>
      </c>
      <c r="H51" s="39">
        <f>+D51-G51</f>
        <v>-2110000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1130000</v>
      </c>
      <c r="F52" s="44">
        <f>SUM(F50:F51)</f>
        <v>4130000</v>
      </c>
      <c r="G52" s="44">
        <f>SUM(G50:G51)</f>
        <v>5260000</v>
      </c>
      <c r="H52" s="44">
        <f>SUM(H50:H50)</f>
        <v>5250000</v>
      </c>
      <c r="I52" s="45">
        <f>G52/D52*100</f>
        <v>62.61904761904762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11440000</v>
      </c>
      <c r="F54" s="207">
        <f>30961000+15750000</f>
        <v>46711000</v>
      </c>
      <c r="G54" s="206">
        <f>+E54+F54</f>
        <v>58151000</v>
      </c>
      <c r="H54" s="206">
        <f>+D54-G54</f>
        <v>241849000</v>
      </c>
      <c r="I54" s="223">
        <f>G54/D54*100</f>
        <v>19.383666666666667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0</v>
      </c>
      <c r="F55" s="246">
        <v>0</v>
      </c>
      <c r="G55" s="206">
        <f>+E55+F55</f>
        <v>0</v>
      </c>
      <c r="H55" s="206">
        <f>+D55-G55</f>
        <v>35200000</v>
      </c>
      <c r="I55" s="223">
        <f>G55/D55*100</f>
        <v>0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9380000</v>
      </c>
      <c r="F56" s="246">
        <v>0</v>
      </c>
      <c r="G56" s="206">
        <f>+E56+F56</f>
        <v>9380000</v>
      </c>
      <c r="H56" s="206">
        <f>+D56-G56</f>
        <v>24869980</v>
      </c>
      <c r="I56" s="223">
        <f>G56/D56*100</f>
        <v>27.386877306205726</v>
      </c>
      <c r="K56" s="1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0</v>
      </c>
      <c r="F57" s="246">
        <v>0</v>
      </c>
      <c r="G57" s="206">
        <f>+E57+F57</f>
        <v>0</v>
      </c>
      <c r="H57" s="206">
        <f>+D57-G57</f>
        <v>361900000</v>
      </c>
      <c r="I57" s="223">
        <f>G57/D57*100</f>
        <v>0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20820000</v>
      </c>
      <c r="F58" s="208">
        <f>SUM(F54:F57)</f>
        <v>46711000</v>
      </c>
      <c r="G58" s="208">
        <f>SUM(G54:G57)</f>
        <v>67531000</v>
      </c>
      <c r="H58" s="208">
        <f>SUM(H54:H54)</f>
        <v>241849000</v>
      </c>
      <c r="I58" s="223">
        <f>G58/D58*100</f>
        <v>9.233746065050825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0</v>
      </c>
      <c r="F60" s="56">
        <v>200000</v>
      </c>
      <c r="G60" s="56">
        <v>0</v>
      </c>
      <c r="H60" s="39">
        <f>+D60-G60</f>
        <v>8300000</v>
      </c>
      <c r="I60" s="225">
        <f>G60/D60*100</f>
        <v>0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243659935</v>
      </c>
      <c r="F61" s="49">
        <f>+F19+F25+F34+F40+F44+F48+F52+F58+F60</f>
        <v>146402823.11</v>
      </c>
      <c r="G61" s="49">
        <f>+G19+G25+G34+G40+G44+G48+G52+G58+G60</f>
        <v>389862758.11</v>
      </c>
      <c r="H61" s="49">
        <f>+H19+H25+H34+H40+H44+H48+H52+H58+H60</f>
        <v>4573588241.889999</v>
      </c>
      <c r="I61" s="222">
        <f>G61/D61*100</f>
        <v>6.989191435331224</v>
      </c>
      <c r="J61" s="67"/>
      <c r="K61" s="1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9" ht="15">
      <c r="A63" s="2"/>
      <c r="B63" s="16"/>
      <c r="C63" s="16"/>
      <c r="D63" s="14"/>
      <c r="E63" s="14"/>
      <c r="F63" s="14"/>
      <c r="G63" s="14"/>
      <c r="H63" s="14"/>
      <c r="I63" s="15"/>
    </row>
    <row r="64" spans="4:8" ht="15">
      <c r="D64" s="161"/>
      <c r="E64" s="161"/>
      <c r="F64" s="161"/>
      <c r="G64" s="161"/>
      <c r="H64" s="161"/>
    </row>
    <row r="65" ht="15">
      <c r="D65" s="161"/>
    </row>
    <row r="67" spans="4:5" ht="15">
      <c r="D67" s="161"/>
      <c r="E67" s="247"/>
    </row>
    <row r="68" spans="3:4" ht="15">
      <c r="C68" s="248"/>
      <c r="D68" s="161"/>
    </row>
    <row r="69" spans="4:7" ht="15">
      <c r="D69" s="161"/>
      <c r="E69" s="247"/>
      <c r="G69" s="3"/>
    </row>
    <row r="70" spans="4:7" ht="15">
      <c r="D70" s="161"/>
      <c r="E70" s="247"/>
      <c r="G70" s="3"/>
    </row>
    <row r="71" spans="3:5" ht="15">
      <c r="C71" s="248"/>
      <c r="D71" s="249"/>
      <c r="E71" s="247"/>
    </row>
    <row r="73" spans="4:5" ht="15">
      <c r="D73" s="161"/>
      <c r="E73" s="247"/>
    </row>
    <row r="74" ht="15">
      <c r="E74" s="247"/>
    </row>
    <row r="75" spans="4:5" ht="15">
      <c r="D75" s="161"/>
      <c r="E75" s="247"/>
    </row>
  </sheetData>
  <sheetProtection/>
  <mergeCells count="54">
    <mergeCell ref="B61:C61"/>
    <mergeCell ref="B62:C62"/>
    <mergeCell ref="B49:C49"/>
    <mergeCell ref="B52:C52"/>
    <mergeCell ref="D53:I53"/>
    <mergeCell ref="B54:C54"/>
    <mergeCell ref="B58:C58"/>
    <mergeCell ref="B60:C6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28:C28"/>
    <mergeCell ref="B29:C29"/>
    <mergeCell ref="B32:C32"/>
    <mergeCell ref="B33:C33"/>
    <mergeCell ref="B34:C34"/>
    <mergeCell ref="B36:C36"/>
    <mergeCell ref="B21:C21"/>
    <mergeCell ref="B22:C22"/>
    <mergeCell ref="B23:C23"/>
    <mergeCell ref="B24:C24"/>
    <mergeCell ref="B25:C25"/>
    <mergeCell ref="B27:C27"/>
    <mergeCell ref="B12:C12"/>
    <mergeCell ref="B13:C13"/>
    <mergeCell ref="B15:C15"/>
    <mergeCell ref="B17:C17"/>
    <mergeCell ref="B18:C18"/>
    <mergeCell ref="B19:C19"/>
    <mergeCell ref="B6:C6"/>
    <mergeCell ref="B7:C7"/>
    <mergeCell ref="B8:C8"/>
    <mergeCell ref="B9:C9"/>
    <mergeCell ref="B10:C10"/>
    <mergeCell ref="B11:C11"/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59"/>
  <sheetViews>
    <sheetView zoomScalePageLayoutView="0" workbookViewId="0" topLeftCell="A64">
      <selection activeCell="F68" sqref="F68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1.8515625" style="1" customWidth="1"/>
    <col min="5" max="5" width="18.28125" style="1" customWidth="1"/>
    <col min="6" max="6" width="17.8515625" style="1" customWidth="1"/>
    <col min="7" max="8" width="18.57421875" style="0" customWidth="1"/>
    <col min="9" max="9" width="5.14062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1233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1227</v>
      </c>
      <c r="E4" s="324" t="s">
        <v>1230</v>
      </c>
      <c r="F4" s="326" t="s">
        <v>1231</v>
      </c>
      <c r="G4" s="324" t="s">
        <v>1232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122770070.04</v>
      </c>
      <c r="F7" s="207">
        <v>0</v>
      </c>
      <c r="G7" s="60">
        <f aca="true" t="shared" si="0" ref="G7:G18">+E7+F7</f>
        <v>122770070.04</v>
      </c>
      <c r="H7" s="34">
        <f aca="true" t="shared" si="1" ref="H7:H18">+D7-G7</f>
        <v>1977229929.96</v>
      </c>
      <c r="I7" s="201">
        <f aca="true" t="shared" si="2" ref="I7:I19"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12102290.57</v>
      </c>
      <c r="F8" s="207">
        <v>13586213.85</v>
      </c>
      <c r="G8" s="60">
        <f t="shared" si="0"/>
        <v>25688504.42</v>
      </c>
      <c r="H8" s="34">
        <f t="shared" si="1"/>
        <v>974311495.58</v>
      </c>
      <c r="I8" s="201">
        <f t="shared" si="2"/>
        <v>2.568850442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>
        <v>0</v>
      </c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6075500</v>
      </c>
      <c r="F10" s="66">
        <f>1574099.11+2500</f>
        <v>1576599.11</v>
      </c>
      <c r="G10" s="60">
        <f t="shared" si="0"/>
        <v>7652099.11</v>
      </c>
      <c r="H10" s="34">
        <f t="shared" si="1"/>
        <v>58587900.89</v>
      </c>
      <c r="I10" s="201">
        <f t="shared" si="2"/>
        <v>11.552081989734301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>
        <v>0</v>
      </c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267"/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>
        <v>0</v>
      </c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4981900</v>
      </c>
      <c r="F13" s="207">
        <v>8337200</v>
      </c>
      <c r="G13" s="60">
        <f t="shared" si="0"/>
        <v>13319100</v>
      </c>
      <c r="H13" s="34">
        <f t="shared" si="1"/>
        <v>82104900</v>
      </c>
      <c r="I13" s="201">
        <f t="shared" si="2"/>
        <v>13.957809356136822</v>
      </c>
      <c r="J13" s="221"/>
      <c r="K13" s="161"/>
    </row>
    <row r="14" spans="1:11" ht="15">
      <c r="A14" s="46">
        <v>11310104</v>
      </c>
      <c r="B14" s="266" t="s">
        <v>1196</v>
      </c>
      <c r="C14" s="265"/>
      <c r="D14" s="71">
        <v>195000000</v>
      </c>
      <c r="E14" s="34">
        <v>230000</v>
      </c>
      <c r="F14" s="207">
        <v>0</v>
      </c>
      <c r="G14" s="60">
        <f t="shared" si="0"/>
        <v>230000</v>
      </c>
      <c r="H14" s="34">
        <f t="shared" si="1"/>
        <v>194770000</v>
      </c>
      <c r="I14" s="201">
        <f t="shared" si="2"/>
        <v>0.11794871794871796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f>16499327.51-7000000</f>
        <v>9499327.51</v>
      </c>
      <c r="F15" s="207">
        <f>8094108.66-F16</f>
        <v>2590108.66</v>
      </c>
      <c r="G15" s="60">
        <f>+E15+F15</f>
        <v>12089436.17</v>
      </c>
      <c r="H15" s="34">
        <f t="shared" si="1"/>
        <v>57393563.83</v>
      </c>
      <c r="I15" s="201">
        <f t="shared" si="2"/>
        <v>17.399128088885053</v>
      </c>
      <c r="K15" s="161"/>
    </row>
    <row r="16" spans="1:11" ht="15">
      <c r="A16" s="46">
        <v>11460101</v>
      </c>
      <c r="B16" s="266" t="s">
        <v>1192</v>
      </c>
      <c r="C16" s="265"/>
      <c r="D16" s="71">
        <v>168000000</v>
      </c>
      <c r="E16" s="71">
        <f>2500000+7000000+100000</f>
        <v>9600000</v>
      </c>
      <c r="F16" s="207">
        <v>5504000</v>
      </c>
      <c r="G16" s="60">
        <f t="shared" si="0"/>
        <v>15104000</v>
      </c>
      <c r="H16" s="34">
        <f t="shared" si="1"/>
        <v>152896000</v>
      </c>
      <c r="I16" s="201">
        <f t="shared" si="2"/>
        <v>8.99047619047619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91150</v>
      </c>
      <c r="F17" s="207">
        <v>0</v>
      </c>
      <c r="G17" s="60">
        <f t="shared" si="0"/>
        <v>91150</v>
      </c>
      <c r="H17" s="34">
        <f t="shared" si="1"/>
        <v>1608850</v>
      </c>
      <c r="I17" s="201">
        <f t="shared" si="2"/>
        <v>5.3617647058823525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3800000</v>
      </c>
      <c r="F18" s="207">
        <v>0</v>
      </c>
      <c r="G18" s="60">
        <f t="shared" si="0"/>
        <v>3800000</v>
      </c>
      <c r="H18" s="34">
        <f t="shared" si="1"/>
        <v>196200000</v>
      </c>
      <c r="I18" s="201">
        <f t="shared" si="2"/>
        <v>1.9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169150238.12</v>
      </c>
      <c r="F19" s="49">
        <f>+F7+F8+F9+F10+F11+F12+F13+F14+F15+F16+F17+F18</f>
        <v>31594121.62</v>
      </c>
      <c r="G19" s="49">
        <f>+G7+G8+G9+G10+G11+G12+G13+G14+G15+G16+G17+G18</f>
        <v>200744359.74</v>
      </c>
      <c r="H19" s="49">
        <f>H7+H8+H9+H10+H11+H12+H13+H15+H16+H17+H18</f>
        <v>3529092640.2599998</v>
      </c>
      <c r="I19" s="201">
        <f t="shared" si="2"/>
        <v>5.115018134045014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267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120000</v>
      </c>
      <c r="F22" s="66">
        <v>1300000</v>
      </c>
      <c r="G22" s="34">
        <f>+E22+F22</f>
        <v>1420000</v>
      </c>
      <c r="H22" s="34">
        <f>+D22-G22</f>
        <v>3380000</v>
      </c>
      <c r="I22" s="201">
        <f>G22/D22*100</f>
        <v>29.583333333333332</v>
      </c>
      <c r="K22" s="267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16310000</v>
      </c>
      <c r="F23" s="164">
        <v>19693000</v>
      </c>
      <c r="G23" s="34">
        <f>+E23+F23</f>
        <v>36003000</v>
      </c>
      <c r="H23" s="34">
        <f>+D23-G23</f>
        <v>65197000</v>
      </c>
      <c r="I23" s="201">
        <f>G23/D23*100</f>
        <v>35.57608695652174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2172500</v>
      </c>
      <c r="F24" s="34">
        <v>0</v>
      </c>
      <c r="G24" s="34">
        <f>+E24+F24</f>
        <v>2172500</v>
      </c>
      <c r="H24" s="34">
        <f>+D24-G24</f>
        <v>20591500</v>
      </c>
      <c r="I24" s="201">
        <f>G24/D24*100</f>
        <v>9.543577578632929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18602500</v>
      </c>
      <c r="F25" s="49">
        <f>SUM(F22:F24)</f>
        <v>20993000</v>
      </c>
      <c r="G25" s="49">
        <f>SUM(G22:G24)</f>
        <v>39595500</v>
      </c>
      <c r="H25" s="49">
        <f>SUM(H22:H24)</f>
        <v>89168500</v>
      </c>
      <c r="I25" s="45">
        <f>G25/D25*100</f>
        <v>30.75044267031158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62"/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2530000</v>
      </c>
      <c r="F28" s="34">
        <f>66000+2076699.91</f>
        <v>2142699.91</v>
      </c>
      <c r="G28" s="34">
        <f aca="true" t="shared" si="3" ref="G28:G33">+E28+F28</f>
        <v>4672699.91</v>
      </c>
      <c r="H28" s="34">
        <f aca="true" t="shared" si="4" ref="H28:H33">+D28-G28</f>
        <v>110327300.09</v>
      </c>
      <c r="I28" s="201">
        <f aca="true" t="shared" si="5" ref="I28:I34">G28/D28*100</f>
        <v>4.063217313043478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31509519.99</v>
      </c>
      <c r="F29" s="19">
        <v>4803499.98</v>
      </c>
      <c r="G29" s="34">
        <f t="shared" si="3"/>
        <v>36313019.97</v>
      </c>
      <c r="H29" s="34">
        <f t="shared" si="4"/>
        <v>46686980.03</v>
      </c>
      <c r="I29" s="201">
        <f t="shared" si="5"/>
        <v>43.75062646987951</v>
      </c>
      <c r="K29" s="1"/>
    </row>
    <row r="30" spans="1:11" ht="15">
      <c r="A30" s="46">
        <v>110806</v>
      </c>
      <c r="B30" s="263" t="s">
        <v>46</v>
      </c>
      <c r="C30" s="263"/>
      <c r="D30" s="34">
        <v>31000000</v>
      </c>
      <c r="E30" s="34">
        <v>0</v>
      </c>
      <c r="F30" s="34">
        <v>0</v>
      </c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63" t="s">
        <v>47</v>
      </c>
      <c r="C31" s="263"/>
      <c r="D31" s="34">
        <v>15000000</v>
      </c>
      <c r="E31" s="34">
        <v>1135000</v>
      </c>
      <c r="F31" s="34">
        <f>600000</f>
        <v>600000</v>
      </c>
      <c r="G31" s="34">
        <f t="shared" si="3"/>
        <v>1735000</v>
      </c>
      <c r="H31" s="34">
        <f t="shared" si="4"/>
        <v>13265000</v>
      </c>
      <c r="I31" s="201">
        <f t="shared" si="5"/>
        <v>11.566666666666666</v>
      </c>
      <c r="J31" s="221"/>
      <c r="K31" s="262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71358500</v>
      </c>
      <c r="F32" s="34">
        <f>24192300-527500-F31-F33+197500</f>
        <v>22394800</v>
      </c>
      <c r="G32" s="34">
        <f t="shared" si="3"/>
        <v>93753300</v>
      </c>
      <c r="H32" s="34">
        <f t="shared" si="4"/>
        <v>6246700</v>
      </c>
      <c r="I32" s="201">
        <f t="shared" si="5"/>
        <v>93.7533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160000</v>
      </c>
      <c r="F33" s="34">
        <v>867500</v>
      </c>
      <c r="G33" s="34">
        <f t="shared" si="3"/>
        <v>1027500</v>
      </c>
      <c r="H33" s="34">
        <f t="shared" si="4"/>
        <v>8972500</v>
      </c>
      <c r="I33" s="201">
        <f t="shared" si="5"/>
        <v>10.274999999999999</v>
      </c>
      <c r="K33" s="262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106693019.99</v>
      </c>
      <c r="F34" s="49">
        <f>+F28+F29+F30+F31+F32+F33</f>
        <v>30808499.89</v>
      </c>
      <c r="G34" s="49">
        <f>SUM(G28:G33)</f>
        <v>137501519.88</v>
      </c>
      <c r="H34" s="49">
        <f>SUM(H28:H33)</f>
        <v>216498480.12</v>
      </c>
      <c r="I34" s="45">
        <f t="shared" si="5"/>
        <v>38.84223725423729</v>
      </c>
      <c r="K34" s="262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62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62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34">
        <v>15174500</v>
      </c>
      <c r="F37" s="66">
        <v>3698000</v>
      </c>
      <c r="G37" s="34">
        <f>+E37+F37</f>
        <v>18872500</v>
      </c>
      <c r="H37" s="34">
        <f>+D37-G37</f>
        <v>190887500</v>
      </c>
      <c r="I37" s="201">
        <f>G37/D37*100</f>
        <v>8.997187261632341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34">
        <v>981500</v>
      </c>
      <c r="F38" s="207">
        <v>330000</v>
      </c>
      <c r="G38" s="34">
        <f>+E38+F38</f>
        <v>1311500</v>
      </c>
      <c r="H38" s="34">
        <f>+D38-G38</f>
        <v>4088500</v>
      </c>
      <c r="I38" s="201">
        <f>G38/D38*100</f>
        <v>24.287037037037038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16156000</v>
      </c>
      <c r="F40" s="49">
        <f>SUM(F37:F39)</f>
        <v>4028000</v>
      </c>
      <c r="G40" s="49">
        <f>SUM(G37:G39)</f>
        <v>20184000</v>
      </c>
      <c r="H40" s="49">
        <f>SUM(H37:H39)</f>
        <v>195976000</v>
      </c>
      <c r="I40" s="45">
        <f>G40/D40*100</f>
        <v>9.337527757216876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4216000</v>
      </c>
      <c r="F43" s="66">
        <v>138560</v>
      </c>
      <c r="G43" s="34">
        <f>+E43+F43</f>
        <v>4354560</v>
      </c>
      <c r="H43" s="34">
        <f>+D43-G43</f>
        <v>195645440</v>
      </c>
      <c r="I43" s="224">
        <f>G43/D43*100</f>
        <v>2.1772799999999997</v>
      </c>
      <c r="K43" s="1"/>
    </row>
    <row r="44" spans="1:12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4216000</v>
      </c>
      <c r="F44" s="49">
        <f>SUM(F43:F43)</f>
        <v>138560</v>
      </c>
      <c r="G44" s="44">
        <f>+E44+F44</f>
        <v>4354560</v>
      </c>
      <c r="H44" s="49">
        <f>SUM(H43:H43)</f>
        <v>195645440</v>
      </c>
      <c r="I44" s="224">
        <f>G44/D44*100</f>
        <v>2.1772799999999997</v>
      </c>
      <c r="K44" s="1"/>
      <c r="L44" s="270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2254000</v>
      </c>
      <c r="F46" s="66">
        <v>191000</v>
      </c>
      <c r="G46" s="34">
        <f>+E46+F46</f>
        <v>2445000</v>
      </c>
      <c r="H46" s="34">
        <f>+D46-G46</f>
        <v>3555000</v>
      </c>
      <c r="I46" s="201">
        <f>G46/D46*100</f>
        <v>40.75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2254000</v>
      </c>
      <c r="F48" s="49">
        <f>SUM(F46:F47)</f>
        <v>191000</v>
      </c>
      <c r="G48" s="49">
        <f>SUM(G46:G47)</f>
        <v>2445000</v>
      </c>
      <c r="H48" s="49">
        <f>SUM(H46:H47)</f>
        <v>4055000</v>
      </c>
      <c r="I48" s="45">
        <f>G48/D48*100</f>
        <v>37.61538461538462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10453606</v>
      </c>
      <c r="F50" s="34">
        <v>0</v>
      </c>
      <c r="G50" s="34">
        <f>+E50+F50</f>
        <v>10453606</v>
      </c>
      <c r="H50" s="39">
        <f>+D50-G50</f>
        <v>-2053606</v>
      </c>
      <c r="I50" s="201">
        <f>G50/D50*100</f>
        <v>124.44769047619049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2110000</v>
      </c>
      <c r="F51" s="71">
        <v>0</v>
      </c>
      <c r="G51" s="71">
        <f>+E51+F51</f>
        <v>2110000</v>
      </c>
      <c r="H51" s="39">
        <f>+D51-G51</f>
        <v>-2110000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12563606</v>
      </c>
      <c r="F52" s="44">
        <f>SUM(F50:F51)</f>
        <v>0</v>
      </c>
      <c r="G52" s="44">
        <f>SUM(G50:G51)</f>
        <v>12563606</v>
      </c>
      <c r="H52" s="44">
        <f>SUM(H50:H50)</f>
        <v>-2053606</v>
      </c>
      <c r="I52" s="45">
        <f>G52/D52*100</f>
        <v>149.5667380952381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58151000</v>
      </c>
      <c r="F54" s="207">
        <v>1022000</v>
      </c>
      <c r="G54" s="206">
        <f>+E54+F54</f>
        <v>59173000</v>
      </c>
      <c r="H54" s="206">
        <f>+D54-G54</f>
        <v>240827000</v>
      </c>
      <c r="I54" s="223">
        <f>G54/D54*100</f>
        <v>19.724333333333334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4805000</v>
      </c>
      <c r="F55" s="246">
        <v>0</v>
      </c>
      <c r="G55" s="206">
        <f>+E55+F55</f>
        <v>4805000</v>
      </c>
      <c r="H55" s="206">
        <f>+D55-G55</f>
        <v>30395000</v>
      </c>
      <c r="I55" s="223">
        <f>G55/D55*100</f>
        <v>13.650568181818182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11892000</v>
      </c>
      <c r="F56" s="246">
        <v>0</v>
      </c>
      <c r="G56" s="206">
        <f>+E56+F56</f>
        <v>11892000</v>
      </c>
      <c r="H56" s="206">
        <f>+D56-G56</f>
        <v>22357980</v>
      </c>
      <c r="I56" s="223">
        <f>G56/D56*100</f>
        <v>34.721188158358046</v>
      </c>
      <c r="K56" s="269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47196300</v>
      </c>
      <c r="F57" s="246">
        <v>0</v>
      </c>
      <c r="G57" s="206">
        <f>+E57+F57</f>
        <v>47196300</v>
      </c>
      <c r="H57" s="206">
        <f>+D57-G57</f>
        <v>314703700</v>
      </c>
      <c r="I57" s="223">
        <f>G57/D57*100</f>
        <v>13.04125449019066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122044300</v>
      </c>
      <c r="F58" s="208">
        <f>SUM(F54:F57)</f>
        <v>1022000</v>
      </c>
      <c r="G58" s="208">
        <f>SUM(G54:G57)</f>
        <v>123066300</v>
      </c>
      <c r="H58" s="208">
        <f>SUM(H54:H54)</f>
        <v>240827000</v>
      </c>
      <c r="I58" s="223">
        <f>G58/D58*100</f>
        <v>16.827278781083717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200000</v>
      </c>
      <c r="F60" s="56">
        <v>250000</v>
      </c>
      <c r="G60" s="56">
        <f>+E60+F60</f>
        <v>450000</v>
      </c>
      <c r="H60" s="39">
        <f>+D60-G60</f>
        <v>7850000</v>
      </c>
      <c r="I60" s="225">
        <f>G60/D60*100</f>
        <v>5.421686746987952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451879664.11</v>
      </c>
      <c r="F61" s="49">
        <f>+F19+F25+F34+F40+F44+F48+F52+F58+F60</f>
        <v>89025181.51</v>
      </c>
      <c r="G61" s="49">
        <f>+G19+G25+G34+G40+G44+G48+G52+G58+G60</f>
        <v>540904845.62</v>
      </c>
      <c r="H61" s="49">
        <f>+H19+H25+H34+H40+H44+H48+H52+H58+H60</f>
        <v>4477059454.379999</v>
      </c>
      <c r="I61" s="222">
        <f>G61/D61*100</f>
        <v>9.696970114980296</v>
      </c>
      <c r="J61" s="67"/>
      <c r="K61" s="268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 t="s">
        <v>79</v>
      </c>
      <c r="B63" s="319"/>
      <c r="C63" s="319"/>
      <c r="D63" s="168"/>
      <c r="E63" s="220"/>
      <c r="F63" s="168"/>
      <c r="G63" s="218"/>
      <c r="H63" s="218"/>
      <c r="I63" s="168"/>
      <c r="K63" s="262"/>
    </row>
    <row r="64" spans="1:13" ht="15">
      <c r="A64" s="33">
        <v>13310101</v>
      </c>
      <c r="B64" s="332" t="s">
        <v>1204</v>
      </c>
      <c r="C64" s="332"/>
      <c r="D64" s="34">
        <v>16807723000</v>
      </c>
      <c r="E64" s="34">
        <v>3543996000</v>
      </c>
      <c r="F64" s="34">
        <v>1180347000</v>
      </c>
      <c r="G64" s="34">
        <f>+E64+F64</f>
        <v>4724343000</v>
      </c>
      <c r="H64" s="34">
        <f>+D64-F64</f>
        <v>15627376000</v>
      </c>
      <c r="I64" s="201">
        <f>G64/D64*100</f>
        <v>28.1081678940092</v>
      </c>
      <c r="K64" s="226"/>
      <c r="L64" s="221"/>
      <c r="M64" s="221"/>
    </row>
    <row r="65" spans="1:13" ht="15.75" thickBot="1">
      <c r="A65" s="204"/>
      <c r="B65" s="335" t="s">
        <v>1079</v>
      </c>
      <c r="C65" s="336"/>
      <c r="D65" s="44">
        <f>SUM(D64:D64)</f>
        <v>16807723000</v>
      </c>
      <c r="E65" s="44">
        <f>SUM(E64:E64)</f>
        <v>3543996000</v>
      </c>
      <c r="F65" s="44">
        <f>SUM(F64:F64)</f>
        <v>1180347000</v>
      </c>
      <c r="G65" s="44">
        <f>SUM(G64:G64)</f>
        <v>4724343000</v>
      </c>
      <c r="H65" s="44">
        <f>SUM(H64:H64)</f>
        <v>15627376000</v>
      </c>
      <c r="I65" s="45">
        <f>G65/D65*100</f>
        <v>28.1081678940092</v>
      </c>
      <c r="J65" s="26"/>
      <c r="K65" s="226"/>
      <c r="L65" s="221"/>
      <c r="M65" s="221"/>
    </row>
    <row r="66" spans="1:13" ht="15.75" thickTop="1">
      <c r="A66" s="72"/>
      <c r="B66" s="318" t="s">
        <v>44</v>
      </c>
      <c r="C66" s="318"/>
      <c r="D66" s="26"/>
      <c r="E66" s="26"/>
      <c r="F66" s="26"/>
      <c r="G66" s="21"/>
      <c r="H66" s="21"/>
      <c r="I66" s="166"/>
      <c r="K66" s="226"/>
      <c r="L66" s="221"/>
      <c r="M66" s="221"/>
    </row>
    <row r="67" spans="1:13" ht="15">
      <c r="A67" s="33">
        <v>13310102</v>
      </c>
      <c r="B67" s="314" t="s">
        <v>1168</v>
      </c>
      <c r="C67" s="314"/>
      <c r="D67" s="34">
        <f>73086000+33825000</f>
        <v>106911000</v>
      </c>
      <c r="E67" s="34">
        <v>13680000</v>
      </c>
      <c r="F67" s="34">
        <v>6091000</v>
      </c>
      <c r="G67" s="34">
        <f>+E67+F67</f>
        <v>19771000</v>
      </c>
      <c r="H67" s="34">
        <f aca="true" t="shared" si="6" ref="H67:H82">+D67-G67</f>
        <v>87140000</v>
      </c>
      <c r="I67" s="201">
        <f aca="true" t="shared" si="7" ref="I67:I83">G67/D67*100</f>
        <v>18.492952081638</v>
      </c>
      <c r="K67" s="226"/>
      <c r="L67" s="221"/>
      <c r="M67" s="221"/>
    </row>
    <row r="68" spans="1:11" ht="15">
      <c r="A68" s="33">
        <v>13310102</v>
      </c>
      <c r="B68" s="314" t="s">
        <v>1162</v>
      </c>
      <c r="C68" s="314"/>
      <c r="D68" s="34">
        <f>44823000+114092000+K79+172401000</f>
        <v>331316000</v>
      </c>
      <c r="E68" s="34">
        <v>205715417.17000002</v>
      </c>
      <c r="F68" s="34">
        <f>48852000+7470000</f>
        <v>56322000</v>
      </c>
      <c r="G68" s="34">
        <f aca="true" t="shared" si="8" ref="G68:G82">+E68+F68</f>
        <v>262037417.17000002</v>
      </c>
      <c r="H68" s="34">
        <f t="shared" si="6"/>
        <v>69278582.82999998</v>
      </c>
      <c r="I68" s="201">
        <f t="shared" si="7"/>
        <v>79.08987708713133</v>
      </c>
      <c r="J68" s="221"/>
      <c r="K68" s="1"/>
    </row>
    <row r="69" spans="1:11" ht="15">
      <c r="A69" s="33">
        <v>13310102</v>
      </c>
      <c r="B69" s="314" t="s">
        <v>1160</v>
      </c>
      <c r="C69" s="314"/>
      <c r="D69" s="34">
        <f>21230000+28538000+24876000+118881000</f>
        <v>193525000</v>
      </c>
      <c r="E69" s="34">
        <v>15894000</v>
      </c>
      <c r="F69" s="34">
        <f>3522000+32370000+86511000</f>
        <v>122403000</v>
      </c>
      <c r="G69" s="34">
        <f t="shared" si="8"/>
        <v>138297000</v>
      </c>
      <c r="H69" s="34">
        <f t="shared" si="6"/>
        <v>55228000</v>
      </c>
      <c r="I69" s="201">
        <f t="shared" si="7"/>
        <v>71.46208500193774</v>
      </c>
      <c r="K69" s="215"/>
    </row>
    <row r="70" spans="1:11" ht="15">
      <c r="A70" s="33">
        <v>13310102</v>
      </c>
      <c r="B70" s="263" t="s">
        <v>1208</v>
      </c>
      <c r="C70" s="263"/>
      <c r="D70" s="34">
        <f>93960000+139600000+314400000-15911796.77+108904796.77</f>
        <v>640953000</v>
      </c>
      <c r="E70" s="34">
        <v>157654673</v>
      </c>
      <c r="F70" s="34">
        <v>0</v>
      </c>
      <c r="G70" s="34">
        <f t="shared" si="8"/>
        <v>157654673</v>
      </c>
      <c r="H70" s="34">
        <f t="shared" si="6"/>
        <v>483298327</v>
      </c>
      <c r="I70" s="201">
        <f t="shared" si="7"/>
        <v>24.596916310556313</v>
      </c>
      <c r="K70" s="215"/>
    </row>
    <row r="71" spans="1:11" ht="15">
      <c r="A71" s="33">
        <v>13310102</v>
      </c>
      <c r="B71" s="314" t="s">
        <v>1169</v>
      </c>
      <c r="C71" s="314"/>
      <c r="D71" s="34">
        <v>8855000</v>
      </c>
      <c r="E71" s="34">
        <v>1476000</v>
      </c>
      <c r="F71" s="34">
        <v>738000</v>
      </c>
      <c r="G71" s="34">
        <f t="shared" si="8"/>
        <v>2214000</v>
      </c>
      <c r="H71" s="34">
        <f t="shared" si="6"/>
        <v>6641000</v>
      </c>
      <c r="I71" s="201">
        <f t="shared" si="7"/>
        <v>25.002823263692832</v>
      </c>
      <c r="J71" s="221"/>
      <c r="K71" s="1"/>
    </row>
    <row r="72" spans="1:11" ht="15">
      <c r="A72" s="33">
        <v>13310102</v>
      </c>
      <c r="B72" s="311" t="s">
        <v>1184</v>
      </c>
      <c r="C72" s="312"/>
      <c r="D72" s="71">
        <v>25526000</v>
      </c>
      <c r="E72" s="34">
        <v>5506831.666666666</v>
      </c>
      <c r="F72" s="34">
        <v>3379665</v>
      </c>
      <c r="G72" s="34">
        <f t="shared" si="8"/>
        <v>8886496.666666666</v>
      </c>
      <c r="H72" s="34">
        <f t="shared" si="6"/>
        <v>16639503.333333334</v>
      </c>
      <c r="I72" s="201">
        <f t="shared" si="7"/>
        <v>34.81351040768889</v>
      </c>
      <c r="J72" s="221"/>
      <c r="K72" s="215"/>
    </row>
    <row r="73" spans="1:11" ht="15">
      <c r="A73" s="33">
        <v>13310102</v>
      </c>
      <c r="B73" s="311" t="s">
        <v>1172</v>
      </c>
      <c r="C73" s="312"/>
      <c r="D73" s="71">
        <v>8000000</v>
      </c>
      <c r="E73" s="34">
        <v>1333333.3333333335</v>
      </c>
      <c r="F73" s="34">
        <f>5078000/10155666.67*E73</f>
        <v>666688.5480465131</v>
      </c>
      <c r="G73" s="34">
        <f t="shared" si="8"/>
        <v>2000021.8813798465</v>
      </c>
      <c r="H73" s="34">
        <f t="shared" si="6"/>
        <v>5999978.1186201535</v>
      </c>
      <c r="I73" s="201">
        <f t="shared" si="7"/>
        <v>25.00027351724808</v>
      </c>
      <c r="K73" s="1"/>
    </row>
    <row r="74" spans="1:11" ht="15">
      <c r="A74" s="33">
        <v>13310102</v>
      </c>
      <c r="B74" s="311" t="s">
        <v>1173</v>
      </c>
      <c r="C74" s="312"/>
      <c r="D74" s="71">
        <v>9960000</v>
      </c>
      <c r="E74" s="34">
        <v>1660000</v>
      </c>
      <c r="F74" s="34">
        <f aca="true" t="shared" si="9" ref="F74:F80">5078000/10155666.67*E74</f>
        <v>830027.2423179088</v>
      </c>
      <c r="G74" s="34">
        <f t="shared" si="8"/>
        <v>2490027.242317909</v>
      </c>
      <c r="H74" s="34">
        <f t="shared" si="6"/>
        <v>7469972.757682091</v>
      </c>
      <c r="I74" s="201">
        <f t="shared" si="7"/>
        <v>25.000273517248083</v>
      </c>
      <c r="J74" s="221"/>
      <c r="K74" s="1"/>
    </row>
    <row r="75" spans="1:11" ht="15">
      <c r="A75" s="33">
        <v>13310102</v>
      </c>
      <c r="B75" s="264" t="s">
        <v>35</v>
      </c>
      <c r="C75" s="265"/>
      <c r="D75" s="71">
        <v>8585000</v>
      </c>
      <c r="E75" s="34">
        <v>1430000</v>
      </c>
      <c r="F75" s="34">
        <v>715000</v>
      </c>
      <c r="G75" s="34">
        <f>+E75+F75</f>
        <v>2145000</v>
      </c>
      <c r="H75" s="34">
        <f t="shared" si="6"/>
        <v>6440000</v>
      </c>
      <c r="I75" s="201">
        <f t="shared" si="7"/>
        <v>24.98543972044263</v>
      </c>
      <c r="J75" s="221"/>
      <c r="K75" s="262">
        <f>1390901000-D83</f>
        <v>0</v>
      </c>
    </row>
    <row r="76" spans="1:11" ht="15">
      <c r="A76" s="33">
        <v>13310102</v>
      </c>
      <c r="B76" s="314" t="s">
        <v>1174</v>
      </c>
      <c r="C76" s="314"/>
      <c r="D76" s="34">
        <v>8000000</v>
      </c>
      <c r="E76" s="34">
        <v>1333333.3333333335</v>
      </c>
      <c r="F76" s="34">
        <f>5078000/10155666.67*E76</f>
        <v>666688.5480465131</v>
      </c>
      <c r="G76" s="34">
        <f t="shared" si="8"/>
        <v>2000021.8813798465</v>
      </c>
      <c r="H76" s="34">
        <f t="shared" si="6"/>
        <v>5999978.1186201535</v>
      </c>
      <c r="I76" s="201">
        <f t="shared" si="7"/>
        <v>25.00027351724808</v>
      </c>
      <c r="J76" s="221"/>
      <c r="K76" s="1"/>
    </row>
    <row r="77" spans="1:11" ht="15">
      <c r="A77" s="33">
        <v>13310102</v>
      </c>
      <c r="B77" s="311" t="s">
        <v>1176</v>
      </c>
      <c r="C77" s="312"/>
      <c r="D77" s="71">
        <v>9014000</v>
      </c>
      <c r="E77" s="34">
        <v>1502333.3333333333</v>
      </c>
      <c r="F77" s="34">
        <f>5078000/10155666.67*E77</f>
        <v>751191.3215114085</v>
      </c>
      <c r="G77" s="34">
        <f t="shared" si="8"/>
        <v>2253524.654844742</v>
      </c>
      <c r="H77" s="34">
        <f t="shared" si="6"/>
        <v>6760475.345155258</v>
      </c>
      <c r="I77" s="201">
        <f t="shared" si="7"/>
        <v>25.00027351724808</v>
      </c>
      <c r="J77" s="221"/>
      <c r="K77" s="262"/>
    </row>
    <row r="78" spans="1:11" ht="15">
      <c r="A78" s="33">
        <v>13310102</v>
      </c>
      <c r="B78" s="311" t="s">
        <v>1190</v>
      </c>
      <c r="C78" s="312"/>
      <c r="D78" s="71">
        <v>8000000</v>
      </c>
      <c r="E78" s="34">
        <v>1333333.3333333335</v>
      </c>
      <c r="F78" s="34">
        <f t="shared" si="9"/>
        <v>666688.5480465131</v>
      </c>
      <c r="G78" s="34">
        <f t="shared" si="8"/>
        <v>2000021.8813798465</v>
      </c>
      <c r="H78" s="34">
        <f t="shared" si="6"/>
        <v>5999978.1186201535</v>
      </c>
      <c r="I78" s="201">
        <f t="shared" si="7"/>
        <v>25.00027351724808</v>
      </c>
      <c r="J78" s="221"/>
      <c r="K78" s="1"/>
    </row>
    <row r="79" spans="1:11" ht="15">
      <c r="A79" s="33">
        <v>13310102</v>
      </c>
      <c r="B79" s="311" t="s">
        <v>1178</v>
      </c>
      <c r="C79" s="312"/>
      <c r="D79" s="71">
        <v>8000000</v>
      </c>
      <c r="E79" s="34">
        <v>1333333.3333333335</v>
      </c>
      <c r="F79" s="34">
        <f t="shared" si="9"/>
        <v>666688.5480465131</v>
      </c>
      <c r="G79" s="34">
        <f t="shared" si="8"/>
        <v>2000021.8813798465</v>
      </c>
      <c r="H79" s="34">
        <f t="shared" si="6"/>
        <v>5999978.1186201535</v>
      </c>
      <c r="I79" s="201">
        <f t="shared" si="7"/>
        <v>25.00027351724808</v>
      </c>
      <c r="J79" s="221"/>
      <c r="K79" s="1"/>
    </row>
    <row r="80" spans="1:11" ht="15">
      <c r="A80" s="33">
        <v>13310102</v>
      </c>
      <c r="B80" s="311" t="s">
        <v>1179</v>
      </c>
      <c r="C80" s="312"/>
      <c r="D80" s="71">
        <v>9960000</v>
      </c>
      <c r="E80" s="34">
        <v>1660000</v>
      </c>
      <c r="F80" s="34">
        <f t="shared" si="9"/>
        <v>830027.2423179088</v>
      </c>
      <c r="G80" s="34">
        <f t="shared" si="8"/>
        <v>2490027.242317909</v>
      </c>
      <c r="H80" s="34">
        <f t="shared" si="6"/>
        <v>7469972.757682091</v>
      </c>
      <c r="I80" s="201">
        <f t="shared" si="7"/>
        <v>25.000273517248083</v>
      </c>
      <c r="J80" s="221"/>
      <c r="K80" s="1"/>
    </row>
    <row r="81" spans="1:11" ht="15">
      <c r="A81" s="33">
        <v>13310102</v>
      </c>
      <c r="B81" s="314" t="s">
        <v>1181</v>
      </c>
      <c r="C81" s="314"/>
      <c r="D81" s="34">
        <v>8296000</v>
      </c>
      <c r="E81" s="34">
        <v>1191000</v>
      </c>
      <c r="F81" s="34">
        <f>1191000/2</f>
        <v>595500</v>
      </c>
      <c r="G81" s="34">
        <f t="shared" si="8"/>
        <v>1786500</v>
      </c>
      <c r="H81" s="34">
        <f t="shared" si="6"/>
        <v>6509500</v>
      </c>
      <c r="I81" s="201">
        <f t="shared" si="7"/>
        <v>21.53447444551591</v>
      </c>
      <c r="J81" s="221"/>
      <c r="K81" s="268"/>
    </row>
    <row r="82" spans="1:11" ht="15">
      <c r="A82" s="33">
        <v>13310102</v>
      </c>
      <c r="B82" s="341" t="s">
        <v>1182</v>
      </c>
      <c r="C82" s="342"/>
      <c r="D82" s="58">
        <v>6000000</v>
      </c>
      <c r="E82" s="34">
        <v>1191000</v>
      </c>
      <c r="F82" s="34">
        <f>1191000/2</f>
        <v>595500</v>
      </c>
      <c r="G82" s="34">
        <f t="shared" si="8"/>
        <v>1786500</v>
      </c>
      <c r="H82" s="34">
        <f t="shared" si="6"/>
        <v>4213500</v>
      </c>
      <c r="I82" s="201">
        <f t="shared" si="7"/>
        <v>29.775000000000002</v>
      </c>
      <c r="J82" s="221"/>
      <c r="K82" s="1"/>
    </row>
    <row r="83" spans="1:11" ht="15.75" thickBot="1">
      <c r="A83" s="40"/>
      <c r="B83" s="328" t="s">
        <v>36</v>
      </c>
      <c r="C83" s="328"/>
      <c r="D83" s="49">
        <f>+D67+D68+D69+D70+D71+D72+D73+D74+D75+D76+D77+D78+D79+D80+D81+D82</f>
        <v>1390901000</v>
      </c>
      <c r="E83" s="49">
        <f>SUM(E67:E82)</f>
        <v>413894588.5033333</v>
      </c>
      <c r="F83" s="49">
        <f>SUM(F67:F82)</f>
        <v>195917664.99833325</v>
      </c>
      <c r="G83" s="49">
        <f>SUM(G67:G82)</f>
        <v>609812253.5016667</v>
      </c>
      <c r="H83" s="49">
        <f>SUM(H67:H82)</f>
        <v>781088746.4983333</v>
      </c>
      <c r="I83" s="45">
        <f t="shared" si="7"/>
        <v>43.84296607031462</v>
      </c>
      <c r="J83" s="221"/>
      <c r="K83" s="1"/>
    </row>
    <row r="84" spans="1:11" ht="15.75" thickTop="1">
      <c r="A84" s="2"/>
      <c r="B84" s="329" t="s">
        <v>1148</v>
      </c>
      <c r="C84" s="329"/>
      <c r="D84" s="19"/>
      <c r="E84" s="19"/>
      <c r="F84" s="19"/>
      <c r="G84" s="19"/>
      <c r="H84" s="19"/>
      <c r="I84" s="171"/>
      <c r="K84" s="1"/>
    </row>
    <row r="85" spans="1:11" ht="15">
      <c r="A85" s="33">
        <v>130120</v>
      </c>
      <c r="B85" s="314" t="s">
        <v>1163</v>
      </c>
      <c r="C85" s="314"/>
      <c r="D85" s="206">
        <f>54730000</f>
        <v>54730000</v>
      </c>
      <c r="E85" s="34">
        <v>0</v>
      </c>
      <c r="F85" s="35">
        <v>52730000</v>
      </c>
      <c r="G85" s="34">
        <f>+E85+F85</f>
        <v>52730000</v>
      </c>
      <c r="H85" s="34">
        <f>+D85-G85</f>
        <v>2000000</v>
      </c>
      <c r="I85" s="156">
        <f>G85/D85*100</f>
        <v>96.34569705828613</v>
      </c>
      <c r="K85" s="1"/>
    </row>
    <row r="86" spans="1:11" ht="15">
      <c r="A86" s="33">
        <v>130120</v>
      </c>
      <c r="B86" s="311" t="s">
        <v>1210</v>
      </c>
      <c r="C86" s="312"/>
      <c r="D86" s="206">
        <v>1500000000</v>
      </c>
      <c r="E86" s="34">
        <v>0</v>
      </c>
      <c r="F86" s="35">
        <v>0</v>
      </c>
      <c r="G86" s="34">
        <f>+E86+F86</f>
        <v>0</v>
      </c>
      <c r="H86" s="34">
        <f>+D86-G86</f>
        <v>1500000000</v>
      </c>
      <c r="I86" s="156">
        <f>G86/D86*100</f>
        <v>0</v>
      </c>
      <c r="K86" s="1"/>
    </row>
    <row r="87" spans="1:11" ht="15">
      <c r="A87" s="33">
        <v>130120</v>
      </c>
      <c r="B87" s="264" t="s">
        <v>1205</v>
      </c>
      <c r="C87" s="265"/>
      <c r="D87" s="206">
        <v>106206350</v>
      </c>
      <c r="E87" s="34">
        <v>0</v>
      </c>
      <c r="F87" s="35">
        <v>0</v>
      </c>
      <c r="G87" s="34">
        <f>+E87+F87</f>
        <v>0</v>
      </c>
      <c r="H87" s="34">
        <f>+D87-G87</f>
        <v>106206350</v>
      </c>
      <c r="I87" s="156">
        <f>G87/D87*100</f>
        <v>0</v>
      </c>
      <c r="K87" s="1"/>
    </row>
    <row r="88" spans="1:11" ht="15">
      <c r="A88" s="33">
        <v>130114</v>
      </c>
      <c r="B88" s="311" t="s">
        <v>1209</v>
      </c>
      <c r="C88" s="312"/>
      <c r="D88" s="206">
        <v>483611000</v>
      </c>
      <c r="E88" s="34">
        <v>118355153.87</v>
      </c>
      <c r="F88" s="34">
        <f>J88+79434673</f>
        <v>79434673</v>
      </c>
      <c r="G88" s="34">
        <f>+E88+F88</f>
        <v>197789826.87</v>
      </c>
      <c r="H88" s="34">
        <f>+D88-G88</f>
        <v>285821173.13</v>
      </c>
      <c r="I88" s="156">
        <f>G88/D88*100</f>
        <v>40.89853764078981</v>
      </c>
      <c r="K88" s="262"/>
    </row>
    <row r="89" spans="1:9" ht="15">
      <c r="A89" s="205"/>
      <c r="B89" s="330" t="s">
        <v>1149</v>
      </c>
      <c r="C89" s="330"/>
      <c r="D89" s="213">
        <f>SUM(D85:D88)</f>
        <v>2144547350</v>
      </c>
      <c r="E89" s="213">
        <f>SUM(E85:E88)</f>
        <v>118355153.87</v>
      </c>
      <c r="F89" s="213">
        <f>SUM(F85:F88)</f>
        <v>132164673</v>
      </c>
      <c r="G89" s="213">
        <f>SUM(G85:G88)</f>
        <v>250519826.87</v>
      </c>
      <c r="H89" s="213">
        <f>SUM(H85:H88)</f>
        <v>1894027523.13</v>
      </c>
      <c r="I89" s="156">
        <f>G89/D89*100</f>
        <v>11.681711148508798</v>
      </c>
    </row>
    <row r="90" spans="1:11" ht="15">
      <c r="A90" s="2"/>
      <c r="B90" s="329" t="s">
        <v>1152</v>
      </c>
      <c r="C90" s="329"/>
      <c r="D90" s="214"/>
      <c r="E90" s="19"/>
      <c r="F90" s="19"/>
      <c r="G90" s="19"/>
      <c r="H90" s="19"/>
      <c r="I90" s="171"/>
      <c r="K90" s="1"/>
    </row>
    <row r="91" spans="1:11" ht="15">
      <c r="A91" s="33">
        <v>13110105</v>
      </c>
      <c r="B91" s="264" t="s">
        <v>1203</v>
      </c>
      <c r="C91" s="265"/>
      <c r="D91" s="206">
        <v>446310000</v>
      </c>
      <c r="E91" s="34">
        <v>0</v>
      </c>
      <c r="F91" s="216">
        <v>0</v>
      </c>
      <c r="G91" s="34">
        <f>+E91+F91</f>
        <v>0</v>
      </c>
      <c r="H91" s="34">
        <f aca="true" t="shared" si="10" ref="H91:H101">+D91-G91</f>
        <v>446310000</v>
      </c>
      <c r="I91" s="156">
        <f aca="true" t="shared" si="11" ref="I91:I103">G91/D91*100</f>
        <v>0</v>
      </c>
      <c r="K91" s="161"/>
    </row>
    <row r="92" spans="1:11" ht="15">
      <c r="A92" s="33">
        <v>13110105</v>
      </c>
      <c r="B92" s="311" t="s">
        <v>1155</v>
      </c>
      <c r="C92" s="312"/>
      <c r="D92" s="206">
        <v>511982000</v>
      </c>
      <c r="E92" s="206">
        <v>0</v>
      </c>
      <c r="F92" s="206">
        <v>139914200</v>
      </c>
      <c r="G92" s="34">
        <f aca="true" t="shared" si="12" ref="G92:G101">+E92+F92</f>
        <v>139914200</v>
      </c>
      <c r="H92" s="34">
        <f t="shared" si="10"/>
        <v>372067800</v>
      </c>
      <c r="I92" s="156">
        <f t="shared" si="11"/>
        <v>27.327952935845403</v>
      </c>
      <c r="K92" s="1"/>
    </row>
    <row r="93" spans="1:11" ht="15">
      <c r="A93" s="33">
        <v>13120158</v>
      </c>
      <c r="B93" s="264" t="s">
        <v>1226</v>
      </c>
      <c r="C93" s="265"/>
      <c r="D93" s="206">
        <v>98970000</v>
      </c>
      <c r="E93" s="34">
        <v>73193000</v>
      </c>
      <c r="F93" s="206">
        <v>0</v>
      </c>
      <c r="G93" s="34">
        <f t="shared" si="12"/>
        <v>73193000</v>
      </c>
      <c r="H93" s="34">
        <f t="shared" si="10"/>
        <v>25777000</v>
      </c>
      <c r="I93" s="156">
        <f t="shared" si="11"/>
        <v>73.95473375770435</v>
      </c>
      <c r="K93" s="1"/>
    </row>
    <row r="94" spans="1:11" ht="15">
      <c r="A94" s="33">
        <v>13120159</v>
      </c>
      <c r="B94" s="264" t="s">
        <v>1206</v>
      </c>
      <c r="C94" s="265"/>
      <c r="D94" s="206">
        <v>328900000</v>
      </c>
      <c r="E94" s="34">
        <v>0</v>
      </c>
      <c r="F94" s="206">
        <v>0</v>
      </c>
      <c r="G94" s="34">
        <f t="shared" si="12"/>
        <v>0</v>
      </c>
      <c r="H94" s="34">
        <f t="shared" si="10"/>
        <v>328900000</v>
      </c>
      <c r="I94" s="156">
        <f t="shared" si="11"/>
        <v>0</v>
      </c>
      <c r="K94" s="1"/>
    </row>
    <row r="95" spans="1:11" ht="15">
      <c r="A95" s="33">
        <v>130123</v>
      </c>
      <c r="B95" s="264" t="s">
        <v>1186</v>
      </c>
      <c r="C95" s="265"/>
      <c r="D95" s="206">
        <v>125245000</v>
      </c>
      <c r="E95" s="34">
        <v>132545000</v>
      </c>
      <c r="F95" s="206">
        <v>0</v>
      </c>
      <c r="G95" s="34">
        <f t="shared" si="12"/>
        <v>132545000</v>
      </c>
      <c r="H95" s="34">
        <f t="shared" si="10"/>
        <v>-7300000</v>
      </c>
      <c r="I95" s="156">
        <f t="shared" si="11"/>
        <v>105.82857599105753</v>
      </c>
      <c r="K95" s="1"/>
    </row>
    <row r="96" spans="1:11" ht="15">
      <c r="A96" s="33">
        <v>13120184</v>
      </c>
      <c r="B96" s="264" t="s">
        <v>1207</v>
      </c>
      <c r="C96" s="265"/>
      <c r="D96" s="206">
        <v>35500000</v>
      </c>
      <c r="E96" s="34">
        <v>0</v>
      </c>
      <c r="F96" s="34"/>
      <c r="G96" s="34">
        <f t="shared" si="12"/>
        <v>0</v>
      </c>
      <c r="H96" s="34">
        <f t="shared" si="10"/>
        <v>35500000</v>
      </c>
      <c r="I96" s="156">
        <f t="shared" si="11"/>
        <v>0</v>
      </c>
      <c r="K96" s="1"/>
    </row>
    <row r="97" spans="1:11" ht="15">
      <c r="A97" s="33">
        <v>13210127</v>
      </c>
      <c r="B97" s="314" t="s">
        <v>1202</v>
      </c>
      <c r="C97" s="314"/>
      <c r="D97" s="206">
        <v>195171000</v>
      </c>
      <c r="E97" s="34">
        <v>0</v>
      </c>
      <c r="F97" s="34">
        <v>0</v>
      </c>
      <c r="G97" s="34">
        <f t="shared" si="12"/>
        <v>0</v>
      </c>
      <c r="H97" s="34">
        <f t="shared" si="10"/>
        <v>195171000</v>
      </c>
      <c r="I97" s="156">
        <f t="shared" si="11"/>
        <v>0</v>
      </c>
      <c r="K97" s="1"/>
    </row>
    <row r="98" spans="1:11" ht="15">
      <c r="A98" s="33">
        <v>130118</v>
      </c>
      <c r="B98" s="314" t="s">
        <v>1157</v>
      </c>
      <c r="C98" s="314"/>
      <c r="D98" s="206">
        <v>5733000</v>
      </c>
      <c r="E98" s="34">
        <v>0</v>
      </c>
      <c r="F98" s="34">
        <v>0</v>
      </c>
      <c r="G98" s="34">
        <f t="shared" si="12"/>
        <v>0</v>
      </c>
      <c r="H98" s="34">
        <f t="shared" si="10"/>
        <v>5733000</v>
      </c>
      <c r="I98" s="156">
        <f t="shared" si="11"/>
        <v>0</v>
      </c>
      <c r="K98" s="1"/>
    </row>
    <row r="99" spans="1:11" ht="15">
      <c r="A99" s="33">
        <v>130108</v>
      </c>
      <c r="B99" s="264" t="s">
        <v>1193</v>
      </c>
      <c r="C99" s="265"/>
      <c r="D99" s="206">
        <v>698377592</v>
      </c>
      <c r="E99" s="206">
        <v>0</v>
      </c>
      <c r="F99" s="206">
        <v>0</v>
      </c>
      <c r="G99" s="34">
        <f t="shared" si="12"/>
        <v>0</v>
      </c>
      <c r="H99" s="34">
        <f t="shared" si="10"/>
        <v>698377592</v>
      </c>
      <c r="I99" s="156">
        <f t="shared" si="11"/>
        <v>0</v>
      </c>
      <c r="K99" s="1"/>
    </row>
    <row r="100" spans="1:11" ht="15">
      <c r="A100" s="33">
        <v>130107</v>
      </c>
      <c r="B100" s="311" t="s">
        <v>168</v>
      </c>
      <c r="C100" s="312"/>
      <c r="D100" s="206">
        <v>16453446.77</v>
      </c>
      <c r="E100" s="216">
        <v>0</v>
      </c>
      <c r="F100" s="34">
        <v>0</v>
      </c>
      <c r="G100" s="34">
        <f t="shared" si="12"/>
        <v>0</v>
      </c>
      <c r="H100" s="34">
        <f t="shared" si="10"/>
        <v>16453446.77</v>
      </c>
      <c r="I100" s="156">
        <f t="shared" si="11"/>
        <v>0</v>
      </c>
      <c r="K100" s="1"/>
    </row>
    <row r="101" spans="1:11" ht="15">
      <c r="A101" s="33">
        <v>130121</v>
      </c>
      <c r="B101" s="311" t="s">
        <v>1086</v>
      </c>
      <c r="C101" s="312"/>
      <c r="D101" s="206">
        <v>1600000000</v>
      </c>
      <c r="E101" s="34">
        <v>478593950</v>
      </c>
      <c r="F101" s="34">
        <v>0</v>
      </c>
      <c r="G101" s="34">
        <f t="shared" si="12"/>
        <v>478593950</v>
      </c>
      <c r="H101" s="34">
        <f t="shared" si="10"/>
        <v>1121406050</v>
      </c>
      <c r="I101" s="156">
        <f t="shared" si="11"/>
        <v>29.912121874999997</v>
      </c>
      <c r="K101" s="1"/>
    </row>
    <row r="102" spans="1:9" ht="15">
      <c r="A102" s="205"/>
      <c r="B102" s="330" t="s">
        <v>1153</v>
      </c>
      <c r="C102" s="330"/>
      <c r="D102" s="172">
        <f>SUM(D91:D101)</f>
        <v>4062642038.77</v>
      </c>
      <c r="E102" s="172">
        <f>SUM(E91:E101)</f>
        <v>684331950</v>
      </c>
      <c r="F102" s="172">
        <f>SUM(F91:F101)</f>
        <v>139914200</v>
      </c>
      <c r="G102" s="172">
        <f>SUM(G91:G101)</f>
        <v>824246150</v>
      </c>
      <c r="H102" s="172">
        <f>SUM(H91:H101)</f>
        <v>3238395888.77</v>
      </c>
      <c r="I102" s="156">
        <f t="shared" si="11"/>
        <v>20.28842664783599</v>
      </c>
    </row>
    <row r="103" spans="1:9" ht="15.75" thickBot="1">
      <c r="A103" s="217"/>
      <c r="B103" s="328" t="s">
        <v>43</v>
      </c>
      <c r="C103" s="328"/>
      <c r="D103" s="219">
        <f>+D61+D65+D83+D89+D102</f>
        <v>29983894368.77</v>
      </c>
      <c r="E103" s="219">
        <f>+E61+E65+E83+E89+E102</f>
        <v>5212457356.483334</v>
      </c>
      <c r="F103" s="219">
        <f>+F61+F65+F83+F89+F102</f>
        <v>1737368719.5083332</v>
      </c>
      <c r="G103" s="219">
        <f>+G61+G65+G83+G89+G102</f>
        <v>6949826075.991667</v>
      </c>
      <c r="H103" s="219">
        <f>H61+H65+H83+H89+H102</f>
        <v>26017947612.77833</v>
      </c>
      <c r="I103" s="156">
        <f t="shared" si="11"/>
        <v>23.178530415416358</v>
      </c>
    </row>
    <row r="104" spans="1:9" ht="15.75" thickTop="1">
      <c r="A104" s="2"/>
      <c r="B104" s="16"/>
      <c r="C104" s="16"/>
      <c r="D104" s="14"/>
      <c r="E104" s="14"/>
      <c r="F104" s="14"/>
      <c r="G104" s="14"/>
      <c r="H104" s="14"/>
      <c r="I104" s="15"/>
    </row>
    <row r="115" spans="4:6" ht="16.5" thickBot="1">
      <c r="D115" s="271" t="s">
        <v>1234</v>
      </c>
      <c r="E115"/>
      <c r="F115"/>
    </row>
    <row r="116" spans="4:9" ht="47.25">
      <c r="D116" s="380" t="s">
        <v>0</v>
      </c>
      <c r="E116" s="380" t="s">
        <v>1235</v>
      </c>
      <c r="F116" s="380" t="s">
        <v>1236</v>
      </c>
      <c r="G116" s="272" t="s">
        <v>1237</v>
      </c>
      <c r="H116" s="272" t="s">
        <v>1238</v>
      </c>
      <c r="I116" s="380" t="s">
        <v>1240</v>
      </c>
    </row>
    <row r="117" spans="4:9" ht="16.5" thickBot="1">
      <c r="D117" s="381"/>
      <c r="E117" s="381"/>
      <c r="F117" s="381"/>
      <c r="G117" s="273">
        <v>2018</v>
      </c>
      <c r="H117" s="273" t="s">
        <v>1239</v>
      </c>
      <c r="I117" s="381"/>
    </row>
    <row r="118" spans="4:9" ht="15">
      <c r="D118" s="274" t="s">
        <v>1241</v>
      </c>
      <c r="E118" s="394">
        <v>2205010712</v>
      </c>
      <c r="F118" s="276"/>
      <c r="G118" s="276"/>
      <c r="H118" s="276"/>
      <c r="I118" s="278"/>
    </row>
    <row r="119" spans="4:9" ht="15">
      <c r="D119" s="274" t="s">
        <v>1242</v>
      </c>
      <c r="E119" s="395"/>
      <c r="F119" s="276"/>
      <c r="G119" s="276"/>
      <c r="H119" s="276"/>
      <c r="I119" s="278"/>
    </row>
    <row r="120" spans="4:9" ht="15.75" thickBot="1">
      <c r="D120" s="275"/>
      <c r="E120" s="396"/>
      <c r="F120" s="277">
        <v>228359978</v>
      </c>
      <c r="G120" s="277">
        <v>90847739</v>
      </c>
      <c r="H120" s="277">
        <v>319207717</v>
      </c>
      <c r="I120" s="279">
        <v>14</v>
      </c>
    </row>
    <row r="121" spans="4:9" ht="15">
      <c r="D121" s="274" t="s">
        <v>1243</v>
      </c>
      <c r="E121" s="394">
        <v>26221680</v>
      </c>
      <c r="F121" s="384">
        <v>3260125</v>
      </c>
      <c r="G121" s="400">
        <v>0</v>
      </c>
      <c r="H121" s="384">
        <v>3260125</v>
      </c>
      <c r="I121" s="280"/>
    </row>
    <row r="122" spans="4:9" ht="15">
      <c r="D122" s="274" t="s">
        <v>1242</v>
      </c>
      <c r="E122" s="395"/>
      <c r="F122" s="397"/>
      <c r="G122" s="398"/>
      <c r="H122" s="397"/>
      <c r="I122" s="280"/>
    </row>
    <row r="123" spans="4:9" ht="15.75" thickBot="1">
      <c r="D123" s="275"/>
      <c r="E123" s="396"/>
      <c r="F123" s="385"/>
      <c r="G123" s="399"/>
      <c r="H123" s="385"/>
      <c r="I123" s="281">
        <v>12</v>
      </c>
    </row>
    <row r="124" spans="4:9" ht="15">
      <c r="D124" s="274" t="s">
        <v>1244</v>
      </c>
      <c r="E124" s="394">
        <v>3346848588</v>
      </c>
      <c r="F124" s="384">
        <v>38326000</v>
      </c>
      <c r="G124" s="384">
        <v>10436800</v>
      </c>
      <c r="H124" s="384">
        <v>48762800</v>
      </c>
      <c r="I124" s="280"/>
    </row>
    <row r="125" spans="4:9" ht="15">
      <c r="D125" s="274" t="s">
        <v>1242</v>
      </c>
      <c r="E125" s="395"/>
      <c r="F125" s="397"/>
      <c r="G125" s="398"/>
      <c r="H125" s="398"/>
      <c r="I125" s="280"/>
    </row>
    <row r="126" spans="4:9" ht="15.75" thickBot="1">
      <c r="D126" s="275"/>
      <c r="E126" s="396"/>
      <c r="F126" s="385"/>
      <c r="G126" s="399"/>
      <c r="H126" s="399"/>
      <c r="I126" s="281">
        <v>1.5</v>
      </c>
    </row>
    <row r="127" spans="4:9" ht="15">
      <c r="D127" s="274"/>
      <c r="E127" s="394">
        <v>16807723000</v>
      </c>
      <c r="F127" s="386">
        <v>3543996000</v>
      </c>
      <c r="G127" s="372">
        <v>1180347000</v>
      </c>
      <c r="H127" s="386">
        <v>4724343000</v>
      </c>
      <c r="I127" s="382">
        <v>28</v>
      </c>
    </row>
    <row r="128" spans="4:9" ht="15.75" thickBot="1">
      <c r="D128" s="282" t="s">
        <v>1245</v>
      </c>
      <c r="E128" s="396"/>
      <c r="F128" s="387"/>
      <c r="G128" s="373"/>
      <c r="H128" s="387"/>
      <c r="I128" s="383"/>
    </row>
    <row r="129" spans="4:9" ht="30.75" thickBot="1">
      <c r="D129" s="282" t="s">
        <v>1246</v>
      </c>
      <c r="E129" s="283">
        <v>1390901000</v>
      </c>
      <c r="F129" s="284">
        <v>114074000</v>
      </c>
      <c r="G129" s="284">
        <f>133585250+87921120</f>
        <v>221506370</v>
      </c>
      <c r="H129" s="284">
        <f>+F129+G129</f>
        <v>335580370</v>
      </c>
      <c r="I129" s="287">
        <f>+H129/E129*100</f>
        <v>24.126833613607296</v>
      </c>
    </row>
    <row r="130" spans="4:9" ht="15">
      <c r="D130" s="274" t="s">
        <v>1247</v>
      </c>
      <c r="E130" s="374">
        <v>6207189388</v>
      </c>
      <c r="F130" s="384">
        <v>513153181</v>
      </c>
      <c r="G130" s="384">
        <f>147621250+62571080.67</f>
        <v>210192330.67000002</v>
      </c>
      <c r="H130" s="384">
        <f>+F130+G130</f>
        <v>723345511.6700001</v>
      </c>
      <c r="I130" s="288"/>
    </row>
    <row r="131" spans="4:9" ht="15.75" thickBot="1">
      <c r="D131" s="282" t="s">
        <v>1248</v>
      </c>
      <c r="E131" s="375"/>
      <c r="F131" s="385"/>
      <c r="G131" s="385"/>
      <c r="H131" s="385"/>
      <c r="I131" s="289">
        <v>11</v>
      </c>
    </row>
    <row r="132" spans="4:9" ht="15">
      <c r="D132" s="388" t="s">
        <v>63</v>
      </c>
      <c r="E132" s="390">
        <v>29983894368</v>
      </c>
      <c r="F132" s="392">
        <v>4441169284</v>
      </c>
      <c r="G132" s="378">
        <f>+G120+G121+G124+G127+G129+G130</f>
        <v>1713330239.67</v>
      </c>
      <c r="H132" s="378">
        <f>+H120+H121+H124+H127+H129+H130</f>
        <v>6154499523.67</v>
      </c>
      <c r="I132" s="378">
        <f>+H132/E132*100</f>
        <v>20.52601789525488</v>
      </c>
    </row>
    <row r="133" spans="4:9" ht="15.75" thickBot="1">
      <c r="D133" s="389"/>
      <c r="E133" s="391"/>
      <c r="F133" s="393"/>
      <c r="G133" s="379"/>
      <c r="H133" s="379"/>
      <c r="I133" s="379"/>
    </row>
    <row r="141" spans="4:6" ht="16.5" thickBot="1">
      <c r="D141" s="271" t="s">
        <v>1249</v>
      </c>
      <c r="E141"/>
      <c r="F141"/>
    </row>
    <row r="142" spans="4:9" ht="47.25">
      <c r="D142" s="380" t="s">
        <v>0</v>
      </c>
      <c r="E142" s="380" t="s">
        <v>1235</v>
      </c>
      <c r="F142" s="272" t="s">
        <v>1250</v>
      </c>
      <c r="G142" s="272" t="s">
        <v>1251</v>
      </c>
      <c r="H142" s="272" t="s">
        <v>1252</v>
      </c>
      <c r="I142" s="380" t="s">
        <v>1240</v>
      </c>
    </row>
    <row r="143" spans="4:9" ht="16.5" thickBot="1">
      <c r="D143" s="381"/>
      <c r="E143" s="381"/>
      <c r="F143" s="273">
        <v>2018</v>
      </c>
      <c r="G143" s="273">
        <v>2018</v>
      </c>
      <c r="H143" s="273">
        <v>2018</v>
      </c>
      <c r="I143" s="381"/>
    </row>
    <row r="144" spans="4:9" ht="15">
      <c r="D144" s="290"/>
      <c r="E144" s="291"/>
      <c r="F144" s="294"/>
      <c r="G144" s="294"/>
      <c r="H144" s="294"/>
      <c r="I144" s="298"/>
    </row>
    <row r="145" spans="4:9" ht="15">
      <c r="D145" s="290"/>
      <c r="E145" s="291"/>
      <c r="F145" s="294"/>
      <c r="G145" s="294"/>
      <c r="H145" s="294"/>
      <c r="I145" s="298"/>
    </row>
    <row r="146" spans="4:9" ht="15">
      <c r="D146" s="290"/>
      <c r="E146" s="291"/>
      <c r="F146" s="294"/>
      <c r="G146" s="295">
        <v>89025182</v>
      </c>
      <c r="H146" s="295">
        <f>+F147+G146</f>
        <v>540904846</v>
      </c>
      <c r="I146" s="298"/>
    </row>
    <row r="147" spans="4:9" ht="15">
      <c r="D147" s="290"/>
      <c r="E147" s="291" t="s">
        <v>1254</v>
      </c>
      <c r="F147" s="295">
        <v>451879664</v>
      </c>
      <c r="G147" s="296"/>
      <c r="H147" s="296"/>
      <c r="I147" s="298"/>
    </row>
    <row r="148" spans="4:9" ht="15">
      <c r="D148" s="290" t="s">
        <v>1253</v>
      </c>
      <c r="E148" s="292">
        <v>5578080980</v>
      </c>
      <c r="F148" s="296"/>
      <c r="G148" s="296"/>
      <c r="H148" s="296"/>
      <c r="I148" s="298">
        <f>+H146/E148*100</f>
        <v>9.696970121792674</v>
      </c>
    </row>
    <row r="149" spans="4:9" ht="15.75" thickBot="1">
      <c r="D149" s="275"/>
      <c r="E149" s="293"/>
      <c r="F149" s="297"/>
      <c r="G149" s="297"/>
      <c r="H149" s="297"/>
      <c r="I149" s="299"/>
    </row>
    <row r="150" spans="4:9" ht="15">
      <c r="D150" s="290"/>
      <c r="E150" s="374">
        <v>16807723000</v>
      </c>
      <c r="F150" s="372">
        <v>3543996000</v>
      </c>
      <c r="G150" s="372">
        <v>1180347000</v>
      </c>
      <c r="H150" s="372">
        <v>4724343000</v>
      </c>
      <c r="I150" s="301"/>
    </row>
    <row r="151" spans="4:9" ht="15.75" thickBot="1">
      <c r="D151" s="300" t="s">
        <v>1245</v>
      </c>
      <c r="E151" s="375"/>
      <c r="F151" s="373"/>
      <c r="G151" s="373"/>
      <c r="H151" s="373"/>
      <c r="I151" s="302">
        <v>28</v>
      </c>
    </row>
    <row r="152" spans="4:9" ht="15">
      <c r="D152" s="370" t="s">
        <v>1246</v>
      </c>
      <c r="E152" s="291"/>
      <c r="F152" s="372">
        <v>413894588</v>
      </c>
      <c r="G152" s="372">
        <v>195917665</v>
      </c>
      <c r="H152" s="372">
        <v>609812254</v>
      </c>
      <c r="I152" s="298"/>
    </row>
    <row r="153" spans="4:9" ht="15.75" thickBot="1">
      <c r="D153" s="371"/>
      <c r="E153" s="303">
        <v>1390901000</v>
      </c>
      <c r="F153" s="373"/>
      <c r="G153" s="373"/>
      <c r="H153" s="373"/>
      <c r="I153" s="304">
        <v>44</v>
      </c>
    </row>
    <row r="154" spans="4:9" ht="15">
      <c r="D154" s="370" t="s">
        <v>1255</v>
      </c>
      <c r="E154" s="374">
        <v>6207189388</v>
      </c>
      <c r="F154" s="376">
        <v>802687104</v>
      </c>
      <c r="G154" s="376">
        <v>272078873</v>
      </c>
      <c r="H154" s="376">
        <v>1074765977</v>
      </c>
      <c r="I154" s="298"/>
    </row>
    <row r="155" spans="4:9" ht="15.75" thickBot="1">
      <c r="D155" s="371"/>
      <c r="E155" s="375"/>
      <c r="F155" s="377"/>
      <c r="G155" s="377"/>
      <c r="H155" s="377"/>
      <c r="I155" s="304">
        <v>17</v>
      </c>
    </row>
    <row r="156" spans="4:9" ht="15">
      <c r="D156" s="364" t="s">
        <v>63</v>
      </c>
      <c r="E156" s="305"/>
      <c r="F156" s="367">
        <v>5212457356</v>
      </c>
      <c r="G156" s="367">
        <f>+G146+G150+G152+G154</f>
        <v>1737368720</v>
      </c>
      <c r="H156" s="367">
        <f>+H146+H150+H152+H154</f>
        <v>6949826077</v>
      </c>
      <c r="I156" s="301"/>
    </row>
    <row r="157" spans="4:9" ht="15">
      <c r="D157" s="365"/>
      <c r="E157" s="285">
        <v>29983894368</v>
      </c>
      <c r="F157" s="368"/>
      <c r="G157" s="368"/>
      <c r="H157" s="368"/>
      <c r="I157" s="301">
        <f>+H156/E157*100</f>
        <v>23.178530419374507</v>
      </c>
    </row>
    <row r="158" spans="4:9" ht="15.75" thickBot="1">
      <c r="D158" s="366"/>
      <c r="E158" s="286"/>
      <c r="F158" s="369"/>
      <c r="G158" s="369"/>
      <c r="H158" s="369"/>
      <c r="I158" s="299"/>
    </row>
    <row r="159" spans="4:6" ht="15.75">
      <c r="D159" s="271"/>
      <c r="E159"/>
      <c r="F159"/>
    </row>
  </sheetData>
  <sheetProtection/>
  <mergeCells count="134">
    <mergeCell ref="B100:C100"/>
    <mergeCell ref="B101:C101"/>
    <mergeCell ref="B102:C102"/>
    <mergeCell ref="B103:C103"/>
    <mergeCell ref="B88:C88"/>
    <mergeCell ref="B89:C89"/>
    <mergeCell ref="B90:C90"/>
    <mergeCell ref="B92:C92"/>
    <mergeCell ref="B97:C97"/>
    <mergeCell ref="B98:C98"/>
    <mergeCell ref="B81:C81"/>
    <mergeCell ref="B82:C82"/>
    <mergeCell ref="B83:C83"/>
    <mergeCell ref="B84:C84"/>
    <mergeCell ref="B85:C85"/>
    <mergeCell ref="B86:C86"/>
    <mergeCell ref="B74:C74"/>
    <mergeCell ref="B76:C76"/>
    <mergeCell ref="B77:C77"/>
    <mergeCell ref="B78:C78"/>
    <mergeCell ref="B79:C79"/>
    <mergeCell ref="B80:C80"/>
    <mergeCell ref="B67:C67"/>
    <mergeCell ref="B68:C68"/>
    <mergeCell ref="B69:C69"/>
    <mergeCell ref="B71:C71"/>
    <mergeCell ref="B72:C72"/>
    <mergeCell ref="B73:C73"/>
    <mergeCell ref="B61:C61"/>
    <mergeCell ref="B62:C62"/>
    <mergeCell ref="A63:C63"/>
    <mergeCell ref="B64:C64"/>
    <mergeCell ref="B65:C65"/>
    <mergeCell ref="B66:C66"/>
    <mergeCell ref="B49:C49"/>
    <mergeCell ref="B52:C52"/>
    <mergeCell ref="D53:I53"/>
    <mergeCell ref="B54:C54"/>
    <mergeCell ref="B58:C58"/>
    <mergeCell ref="B60:C6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28:C28"/>
    <mergeCell ref="B29:C29"/>
    <mergeCell ref="B32:C32"/>
    <mergeCell ref="B33:C33"/>
    <mergeCell ref="B34:C34"/>
    <mergeCell ref="B36:C36"/>
    <mergeCell ref="B21:C21"/>
    <mergeCell ref="B22:C22"/>
    <mergeCell ref="B23:C23"/>
    <mergeCell ref="B24:C24"/>
    <mergeCell ref="B25:C25"/>
    <mergeCell ref="B27:C27"/>
    <mergeCell ref="B12:C12"/>
    <mergeCell ref="B13:C13"/>
    <mergeCell ref="B15:C15"/>
    <mergeCell ref="B17:C17"/>
    <mergeCell ref="B18:C18"/>
    <mergeCell ref="B19:C19"/>
    <mergeCell ref="B6:C6"/>
    <mergeCell ref="B7:C7"/>
    <mergeCell ref="B8:C8"/>
    <mergeCell ref="B9:C9"/>
    <mergeCell ref="B10:C10"/>
    <mergeCell ref="B11:C11"/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  <mergeCell ref="D116:D117"/>
    <mergeCell ref="E116:E117"/>
    <mergeCell ref="F116:F117"/>
    <mergeCell ref="I116:I117"/>
    <mergeCell ref="E118:E120"/>
    <mergeCell ref="E121:E123"/>
    <mergeCell ref="F121:F123"/>
    <mergeCell ref="G121:G123"/>
    <mergeCell ref="H121:H123"/>
    <mergeCell ref="D132:D133"/>
    <mergeCell ref="E132:E133"/>
    <mergeCell ref="F132:F133"/>
    <mergeCell ref="G132:G133"/>
    <mergeCell ref="H132:H133"/>
    <mergeCell ref="E124:E126"/>
    <mergeCell ref="F124:F126"/>
    <mergeCell ref="G124:G126"/>
    <mergeCell ref="H124:H126"/>
    <mergeCell ref="E127:E128"/>
    <mergeCell ref="H150:H151"/>
    <mergeCell ref="I127:I128"/>
    <mergeCell ref="E130:E131"/>
    <mergeCell ref="F130:F131"/>
    <mergeCell ref="G130:G131"/>
    <mergeCell ref="H130:H131"/>
    <mergeCell ref="F127:F128"/>
    <mergeCell ref="G127:G128"/>
    <mergeCell ref="H127:H128"/>
    <mergeCell ref="F154:F155"/>
    <mergeCell ref="G154:G155"/>
    <mergeCell ref="H154:H155"/>
    <mergeCell ref="I132:I133"/>
    <mergeCell ref="D142:D143"/>
    <mergeCell ref="E142:E143"/>
    <mergeCell ref="I142:I143"/>
    <mergeCell ref="E150:E151"/>
    <mergeCell ref="F150:F151"/>
    <mergeCell ref="G150:G151"/>
    <mergeCell ref="D156:D158"/>
    <mergeCell ref="F156:F158"/>
    <mergeCell ref="G156:G158"/>
    <mergeCell ref="H156:H158"/>
    <mergeCell ref="D152:D153"/>
    <mergeCell ref="F152:F153"/>
    <mergeCell ref="G152:G153"/>
    <mergeCell ref="H152:H153"/>
    <mergeCell ref="D154:D155"/>
    <mergeCell ref="E154:E155"/>
  </mergeCells>
  <printOptions/>
  <pageMargins left="0.7" right="0.7" top="0.75" bottom="0.75" header="0.3" footer="0.3"/>
  <pageSetup firstPageNumber="3" useFirstPageNumber="1" horizontalDpi="600" verticalDpi="600" orientation="landscape" paperSize="9" scale="75" r:id="rId4"/>
  <headerFooter>
    <oddFooter>&amp;CPage &amp;P&amp;RTAARIFA fum 2018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09"/>
  <sheetViews>
    <sheetView tabSelected="1" zoomScalePageLayoutView="0" workbookViewId="0" topLeftCell="A94">
      <selection activeCell="F105" sqref="F105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1.8515625" style="1" customWidth="1"/>
    <col min="5" max="5" width="19.00390625" style="1" customWidth="1"/>
    <col min="6" max="6" width="17.8515625" style="1" customWidth="1"/>
    <col min="7" max="8" width="18.57421875" style="0" customWidth="1"/>
    <col min="9" max="9" width="7.5742187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1256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1227</v>
      </c>
      <c r="E4" s="324" t="s">
        <v>1257</v>
      </c>
      <c r="F4" s="326" t="s">
        <v>1258</v>
      </c>
      <c r="G4" s="324" t="s">
        <v>1259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122770070.04</v>
      </c>
      <c r="F7" s="207">
        <v>0</v>
      </c>
      <c r="G7" s="60">
        <f aca="true" t="shared" si="0" ref="G7:G17">+E7+F7</f>
        <v>122770070.04</v>
      </c>
      <c r="H7" s="34">
        <f aca="true" t="shared" si="1" ref="H7:H18">+D7-G7</f>
        <v>1977229929.96</v>
      </c>
      <c r="I7" s="201">
        <f aca="true" t="shared" si="2" ref="I7:I19"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25688504.42</v>
      </c>
      <c r="F8" s="207">
        <v>8478289.88</v>
      </c>
      <c r="G8" s="60">
        <f t="shared" si="0"/>
        <v>34166794.300000004</v>
      </c>
      <c r="H8" s="34">
        <f t="shared" si="1"/>
        <v>965833205.7</v>
      </c>
      <c r="I8" s="201">
        <f t="shared" si="2"/>
        <v>3.4166794300000003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>
        <v>0</v>
      </c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7652099.11</v>
      </c>
      <c r="F10" s="66">
        <f>1224501+1000000</f>
        <v>2224501</v>
      </c>
      <c r="G10" s="60">
        <f t="shared" si="0"/>
        <v>9876600.11</v>
      </c>
      <c r="H10" s="34">
        <f t="shared" si="1"/>
        <v>56363399.89</v>
      </c>
      <c r="I10" s="201">
        <f t="shared" si="2"/>
        <v>14.910326253019324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>
        <v>0</v>
      </c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269"/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>
        <v>0</v>
      </c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13319100</v>
      </c>
      <c r="F13" s="207">
        <v>1880000</v>
      </c>
      <c r="G13" s="60">
        <f t="shared" si="0"/>
        <v>15199100</v>
      </c>
      <c r="H13" s="34">
        <f t="shared" si="1"/>
        <v>80224900</v>
      </c>
      <c r="I13" s="201">
        <f t="shared" si="2"/>
        <v>15.927963615023474</v>
      </c>
      <c r="J13" s="270"/>
      <c r="K13" s="161"/>
    </row>
    <row r="14" spans="1:11" ht="15">
      <c r="A14" s="46">
        <v>11310104</v>
      </c>
      <c r="B14" s="309" t="s">
        <v>1196</v>
      </c>
      <c r="C14" s="307"/>
      <c r="D14" s="71">
        <v>195000000</v>
      </c>
      <c r="E14" s="34">
        <v>230000</v>
      </c>
      <c r="F14" s="207">
        <v>0</v>
      </c>
      <c r="G14" s="60">
        <f t="shared" si="0"/>
        <v>230000</v>
      </c>
      <c r="H14" s="34">
        <f t="shared" si="1"/>
        <v>194770000</v>
      </c>
      <c r="I14" s="201">
        <f t="shared" si="2"/>
        <v>0.11794871794871796</v>
      </c>
      <c r="J14" s="270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v>12089436.17</v>
      </c>
      <c r="F15" s="207">
        <f>5755269.75-360000-1800000-2000000-180000</f>
        <v>1415269.75</v>
      </c>
      <c r="G15" s="60">
        <f>+E15+F15</f>
        <v>13504705.92</v>
      </c>
      <c r="H15" s="34">
        <f t="shared" si="1"/>
        <v>55978294.08</v>
      </c>
      <c r="I15" s="201">
        <f t="shared" si="2"/>
        <v>19.43598566555848</v>
      </c>
      <c r="K15" s="161"/>
    </row>
    <row r="16" spans="1:11" ht="15">
      <c r="A16" s="46">
        <v>11460101</v>
      </c>
      <c r="B16" s="309" t="s">
        <v>1192</v>
      </c>
      <c r="C16" s="307"/>
      <c r="D16" s="71">
        <v>168000000</v>
      </c>
      <c r="E16" s="71">
        <v>15104000</v>
      </c>
      <c r="F16" s="207">
        <v>2000000</v>
      </c>
      <c r="G16" s="60">
        <f t="shared" si="0"/>
        <v>17104000</v>
      </c>
      <c r="H16" s="34">
        <f t="shared" si="1"/>
        <v>150896000</v>
      </c>
      <c r="I16" s="201">
        <f t="shared" si="2"/>
        <v>10.18095238095238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91150</v>
      </c>
      <c r="F17" s="207">
        <v>180000</v>
      </c>
      <c r="G17" s="60">
        <f t="shared" si="0"/>
        <v>271150</v>
      </c>
      <c r="H17" s="34">
        <f t="shared" si="1"/>
        <v>1428850</v>
      </c>
      <c r="I17" s="201">
        <f t="shared" si="2"/>
        <v>15.950000000000001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3800000</v>
      </c>
      <c r="F18" s="207">
        <f>2500000+5000000+2000000</f>
        <v>9500000</v>
      </c>
      <c r="G18" s="60">
        <f>+E18+F18</f>
        <v>13300000</v>
      </c>
      <c r="H18" s="34">
        <f t="shared" si="1"/>
        <v>186700000</v>
      </c>
      <c r="I18" s="201">
        <f>+G18/D18*100</f>
        <v>6.65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200744359.74</v>
      </c>
      <c r="F19" s="49">
        <f>+F7+F8+F9+F10+F11+F12+F13+F14+F15+F16+F17+F18</f>
        <v>25678060.630000003</v>
      </c>
      <c r="G19" s="49">
        <f>+G7+G8+G9+G10+G11+G12+G13+G14+G15+G16+G17+G18</f>
        <v>226422420.36999997</v>
      </c>
      <c r="H19" s="49">
        <f>H7+H8+H9+H10+H11+H12+H13+H15+H16+H17+H18</f>
        <v>3503414579.6299996</v>
      </c>
      <c r="I19" s="201">
        <f t="shared" si="2"/>
        <v>5.769301750977868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269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1420000</v>
      </c>
      <c r="F22" s="66">
        <v>880000</v>
      </c>
      <c r="G22" s="34">
        <f>+E22+F22</f>
        <v>2300000</v>
      </c>
      <c r="H22" s="34">
        <f>+D22-G22</f>
        <v>2500000</v>
      </c>
      <c r="I22" s="201">
        <f>G22/D22*100</f>
        <v>47.91666666666667</v>
      </c>
      <c r="K22" s="269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36003000</v>
      </c>
      <c r="F23" s="164">
        <v>11845000</v>
      </c>
      <c r="G23" s="34">
        <f>+E23+F23</f>
        <v>47848000</v>
      </c>
      <c r="H23" s="34">
        <f>+D23-G23</f>
        <v>53352000</v>
      </c>
      <c r="I23" s="201">
        <f>G23/D23*100</f>
        <v>47.28063241106719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2172500</v>
      </c>
      <c r="F24" s="34">
        <v>832100</v>
      </c>
      <c r="G24" s="34">
        <f>+E24+F24</f>
        <v>3004600</v>
      </c>
      <c r="H24" s="34">
        <f>+D24-G24</f>
        <v>19759400</v>
      </c>
      <c r="I24" s="201">
        <f>G24/D24*100</f>
        <v>13.198910560534177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39595500</v>
      </c>
      <c r="F25" s="49">
        <f>SUM(F22:F24)</f>
        <v>13557100</v>
      </c>
      <c r="G25" s="49">
        <f>SUM(G22:G24)</f>
        <v>53152600</v>
      </c>
      <c r="H25" s="49">
        <f>SUM(H22:H24)</f>
        <v>75611400</v>
      </c>
      <c r="I25" s="45">
        <f>G25/D25*100</f>
        <v>41.279084216085245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69"/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4672699.91</v>
      </c>
      <c r="F28" s="34">
        <f>46000+190000</f>
        <v>236000</v>
      </c>
      <c r="G28" s="34">
        <f aca="true" t="shared" si="3" ref="G28:G33">+E28+F28</f>
        <v>4908699.91</v>
      </c>
      <c r="H28" s="34">
        <f aca="true" t="shared" si="4" ref="H28:H33">+D28-G28</f>
        <v>110091300.09</v>
      </c>
      <c r="I28" s="201">
        <f aca="true" t="shared" si="5" ref="I28:I34">G28/D28*100</f>
        <v>4.268434704347826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36313019.97</v>
      </c>
      <c r="F29" s="19">
        <f>61600+15321400-5600000-470000-1000000-1880000</f>
        <v>6433000</v>
      </c>
      <c r="G29" s="34">
        <f t="shared" si="3"/>
        <v>42746019.97</v>
      </c>
      <c r="H29" s="34">
        <f t="shared" si="4"/>
        <v>40253980.03</v>
      </c>
      <c r="I29" s="201">
        <f t="shared" si="5"/>
        <v>51.50122887951807</v>
      </c>
      <c r="K29" s="1"/>
    </row>
    <row r="30" spans="1:11" ht="15">
      <c r="A30" s="46">
        <v>110806</v>
      </c>
      <c r="B30" s="308" t="s">
        <v>46</v>
      </c>
      <c r="C30" s="308"/>
      <c r="D30" s="34">
        <v>31000000</v>
      </c>
      <c r="E30" s="34">
        <v>0</v>
      </c>
      <c r="F30" s="34">
        <v>0</v>
      </c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308" t="s">
        <v>47</v>
      </c>
      <c r="C31" s="308"/>
      <c r="D31" s="34">
        <v>15000000</v>
      </c>
      <c r="E31" s="34">
        <v>1735000</v>
      </c>
      <c r="F31" s="34">
        <v>470000</v>
      </c>
      <c r="G31" s="34">
        <f t="shared" si="3"/>
        <v>2205000</v>
      </c>
      <c r="H31" s="34">
        <f t="shared" si="4"/>
        <v>12795000</v>
      </c>
      <c r="I31" s="201">
        <f t="shared" si="5"/>
        <v>14.7</v>
      </c>
      <c r="J31" s="270"/>
      <c r="K31" s="269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93753300</v>
      </c>
      <c r="F32" s="34">
        <v>0</v>
      </c>
      <c r="G32" s="34">
        <f t="shared" si="3"/>
        <v>93753300</v>
      </c>
      <c r="H32" s="34">
        <f t="shared" si="4"/>
        <v>6246700</v>
      </c>
      <c r="I32" s="201">
        <f t="shared" si="5"/>
        <v>93.7533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1027500</v>
      </c>
      <c r="F33" s="34">
        <v>5600000</v>
      </c>
      <c r="G33" s="34">
        <f t="shared" si="3"/>
        <v>6627500</v>
      </c>
      <c r="H33" s="34">
        <f t="shared" si="4"/>
        <v>3372500</v>
      </c>
      <c r="I33" s="201">
        <f t="shared" si="5"/>
        <v>66.27499999999999</v>
      </c>
      <c r="K33" s="269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137501519.88</v>
      </c>
      <c r="F34" s="49">
        <f>+F28+F29+F30+F31+F32+F33</f>
        <v>12739000</v>
      </c>
      <c r="G34" s="49">
        <f>SUM(G28:G33)</f>
        <v>150240519.88</v>
      </c>
      <c r="H34" s="49">
        <f>SUM(H28:H33)</f>
        <v>203759480.12</v>
      </c>
      <c r="I34" s="45">
        <f t="shared" si="5"/>
        <v>42.44082482485876</v>
      </c>
      <c r="K34" s="269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69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69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34">
        <v>18872500</v>
      </c>
      <c r="F37" s="66">
        <f>2826500+1800000</f>
        <v>4626500</v>
      </c>
      <c r="G37" s="34">
        <f>+E37+F37</f>
        <v>23499000</v>
      </c>
      <c r="H37" s="34">
        <f>+D37-G37</f>
        <v>186261000</v>
      </c>
      <c r="I37" s="201">
        <f>G37/D37*100</f>
        <v>11.202803203661327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34">
        <v>1311500</v>
      </c>
      <c r="F38" s="207">
        <v>360000</v>
      </c>
      <c r="G38" s="34">
        <f>+E38+F38</f>
        <v>1671500</v>
      </c>
      <c r="H38" s="34">
        <f>+D38-G38</f>
        <v>3728500</v>
      </c>
      <c r="I38" s="201">
        <f>G38/D38*100</f>
        <v>30.953703703703706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20184000</v>
      </c>
      <c r="F40" s="49">
        <f>SUM(F37:F39)</f>
        <v>4986500</v>
      </c>
      <c r="G40" s="49">
        <f>SUM(G37:G39)</f>
        <v>25170500</v>
      </c>
      <c r="H40" s="49">
        <f>SUM(H37:H39)</f>
        <v>190989500</v>
      </c>
      <c r="I40" s="45">
        <f>G40/D40*100</f>
        <v>11.644383789785344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4354560</v>
      </c>
      <c r="F43" s="66">
        <v>1939000</v>
      </c>
      <c r="G43" s="34">
        <f>+E43+F43</f>
        <v>6293560</v>
      </c>
      <c r="H43" s="34">
        <f>+D43-G43</f>
        <v>193706440</v>
      </c>
      <c r="I43" s="224">
        <f>G43/D43*100</f>
        <v>3.1467799999999997</v>
      </c>
      <c r="K43" s="1"/>
    </row>
    <row r="44" spans="1:12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4354560</v>
      </c>
      <c r="F44" s="49">
        <f>SUM(F43:F43)</f>
        <v>1939000</v>
      </c>
      <c r="G44" s="44">
        <f>+E44+F44</f>
        <v>6293560</v>
      </c>
      <c r="H44" s="49">
        <f>SUM(H43:H43)</f>
        <v>193706440</v>
      </c>
      <c r="I44" s="224">
        <f>G44/D44*100</f>
        <v>3.1467799999999997</v>
      </c>
      <c r="K44" s="1"/>
      <c r="L44" s="270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2445000</v>
      </c>
      <c r="F46" s="66">
        <v>902000</v>
      </c>
      <c r="G46" s="34">
        <f>+E46+F46</f>
        <v>3347000</v>
      </c>
      <c r="H46" s="34">
        <f>+D46-G46</f>
        <v>2653000</v>
      </c>
      <c r="I46" s="201">
        <f>G46/D46*100</f>
        <v>55.78333333333333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2445000</v>
      </c>
      <c r="F48" s="49">
        <f>SUM(F46:F47)</f>
        <v>902000</v>
      </c>
      <c r="G48" s="49">
        <f>SUM(G46:G47)</f>
        <v>3347000</v>
      </c>
      <c r="H48" s="49">
        <f>SUM(H46:H47)</f>
        <v>3153000</v>
      </c>
      <c r="I48" s="45">
        <f>G48/D48*100</f>
        <v>51.49230769230769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10453606</v>
      </c>
      <c r="F50" s="34">
        <v>0</v>
      </c>
      <c r="G50" s="34">
        <f>+E50+F50</f>
        <v>10453606</v>
      </c>
      <c r="H50" s="39">
        <f>+D50-G50</f>
        <v>-2053606</v>
      </c>
      <c r="I50" s="201">
        <f>G50/D50*100</f>
        <v>124.44769047619049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2110000</v>
      </c>
      <c r="F51" s="71">
        <v>0</v>
      </c>
      <c r="G51" s="71">
        <f>+E51+F51</f>
        <v>2110000</v>
      </c>
      <c r="H51" s="39">
        <f>+D51-G51</f>
        <v>-2110000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12563606</v>
      </c>
      <c r="F52" s="44">
        <f>SUM(F50:F51)</f>
        <v>0</v>
      </c>
      <c r="G52" s="44">
        <f>SUM(G50:G51)</f>
        <v>12563606</v>
      </c>
      <c r="H52" s="44">
        <f>SUM(H50:H50)</f>
        <v>-2053606</v>
      </c>
      <c r="I52" s="45">
        <f>G52/D52*100</f>
        <v>149.5667380952381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59173000</v>
      </c>
      <c r="F54" s="207">
        <v>0</v>
      </c>
      <c r="G54" s="206">
        <f>+E54+F54</f>
        <v>59173000</v>
      </c>
      <c r="H54" s="206">
        <f>+D54-G54</f>
        <v>240827000</v>
      </c>
      <c r="I54" s="223">
        <f>G54/D54*100</f>
        <v>19.724333333333334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4805000</v>
      </c>
      <c r="F55" s="246">
        <v>0</v>
      </c>
      <c r="G55" s="206">
        <f>+E55+F55</f>
        <v>4805000</v>
      </c>
      <c r="H55" s="206">
        <f>+D55-G55</f>
        <v>30395000</v>
      </c>
      <c r="I55" s="223">
        <f>G55/D55*100</f>
        <v>13.650568181818182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11892000</v>
      </c>
      <c r="F56" s="246">
        <v>0</v>
      </c>
      <c r="G56" s="206">
        <f>+E56+F56</f>
        <v>11892000</v>
      </c>
      <c r="H56" s="206">
        <f>+D56-G56</f>
        <v>22357980</v>
      </c>
      <c r="I56" s="223">
        <f>G56/D56*100</f>
        <v>34.721188158358046</v>
      </c>
      <c r="K56" s="269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47196300</v>
      </c>
      <c r="F57" s="246">
        <v>0</v>
      </c>
      <c r="G57" s="206">
        <f>+E57+F57</f>
        <v>47196300</v>
      </c>
      <c r="H57" s="206">
        <f>+D57-G57</f>
        <v>314703700</v>
      </c>
      <c r="I57" s="223">
        <f>G57/D57*100</f>
        <v>13.04125449019066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123066300</v>
      </c>
      <c r="F58" s="208">
        <f>SUM(F54:F57)</f>
        <v>0</v>
      </c>
      <c r="G58" s="208">
        <f>SUM(G54:G57)</f>
        <v>123066300</v>
      </c>
      <c r="H58" s="208">
        <f>SUM(H54:H54)</f>
        <v>240827000</v>
      </c>
      <c r="I58" s="223">
        <f>G58/D58*100</f>
        <v>16.827278781083717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450000</v>
      </c>
      <c r="F60" s="56">
        <v>2500000</v>
      </c>
      <c r="G60" s="56">
        <f>+E60+F60</f>
        <v>2950000</v>
      </c>
      <c r="H60" s="39">
        <f>+D60-G60</f>
        <v>5350000</v>
      </c>
      <c r="I60" s="225">
        <f>G60/D60*100</f>
        <v>35.54216867469879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540904845.62</v>
      </c>
      <c r="F61" s="49">
        <f>+F19+F25+F34+F40+F44+F48+F52+F58+F60</f>
        <v>62301660.63</v>
      </c>
      <c r="G61" s="49">
        <f>+G19+G25+G34+G40+G44+G48+G52+G58+G60</f>
        <v>603206506.25</v>
      </c>
      <c r="H61" s="49">
        <f>+H19+H25+H34+H40+H44+H48+H52+H58+H60</f>
        <v>4414757793.75</v>
      </c>
      <c r="I61" s="222">
        <f>G61/D61*100</f>
        <v>10.813871444548301</v>
      </c>
      <c r="J61" s="67"/>
      <c r="K61" s="269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 t="s">
        <v>79</v>
      </c>
      <c r="B63" s="319"/>
      <c r="C63" s="319"/>
      <c r="D63" s="168"/>
      <c r="E63" s="220"/>
      <c r="F63" s="168"/>
      <c r="G63" s="218"/>
      <c r="H63" s="218"/>
      <c r="I63" s="168"/>
      <c r="K63" s="269"/>
    </row>
    <row r="64" spans="1:13" ht="15">
      <c r="A64" s="33">
        <v>13310101</v>
      </c>
      <c r="B64" s="332" t="s">
        <v>1204</v>
      </c>
      <c r="C64" s="332"/>
      <c r="D64" s="34">
        <v>16807723000</v>
      </c>
      <c r="E64" s="34">
        <v>4724343000</v>
      </c>
      <c r="F64" s="34">
        <v>1182132044</v>
      </c>
      <c r="G64" s="34">
        <f>+E64+F64</f>
        <v>5906475044</v>
      </c>
      <c r="H64" s="34">
        <f>+D64-F64</f>
        <v>15625590956</v>
      </c>
      <c r="I64" s="201">
        <f>G64/D64*100</f>
        <v>35.14143494630415</v>
      </c>
      <c r="K64" s="226"/>
      <c r="L64" s="270"/>
      <c r="M64" s="270"/>
    </row>
    <row r="65" spans="1:13" ht="15.75" thickBot="1">
      <c r="A65" s="204"/>
      <c r="B65" s="335" t="s">
        <v>1079</v>
      </c>
      <c r="C65" s="336"/>
      <c r="D65" s="44">
        <f>SUM(D64:D64)</f>
        <v>16807723000</v>
      </c>
      <c r="E65" s="44">
        <f>SUM(E64:E64)</f>
        <v>4724343000</v>
      </c>
      <c r="F65" s="44">
        <f>SUM(F64:F64)</f>
        <v>1182132044</v>
      </c>
      <c r="G65" s="44">
        <f>SUM(G64:G64)</f>
        <v>5906475044</v>
      </c>
      <c r="H65" s="44">
        <f>SUM(H64:H64)</f>
        <v>15625590956</v>
      </c>
      <c r="I65" s="45">
        <f>G65/D65*100</f>
        <v>35.14143494630415</v>
      </c>
      <c r="J65" s="26"/>
      <c r="K65" s="226"/>
      <c r="L65" s="270"/>
      <c r="M65" s="270"/>
    </row>
    <row r="66" spans="1:13" ht="15.75" thickTop="1">
      <c r="A66" s="72"/>
      <c r="B66" s="318" t="s">
        <v>44</v>
      </c>
      <c r="C66" s="318"/>
      <c r="D66" s="26"/>
      <c r="E66" s="26"/>
      <c r="F66" s="26"/>
      <c r="G66" s="21"/>
      <c r="H66" s="21"/>
      <c r="I66" s="166"/>
      <c r="K66" s="226"/>
      <c r="L66" s="270"/>
      <c r="M66" s="270"/>
    </row>
    <row r="67" spans="1:13" ht="15">
      <c r="A67" s="33">
        <v>13310102</v>
      </c>
      <c r="B67" s="314" t="s">
        <v>1168</v>
      </c>
      <c r="C67" s="314"/>
      <c r="D67" s="34">
        <f>73086000+33825000</f>
        <v>106911000</v>
      </c>
      <c r="E67" s="34">
        <v>19771000</v>
      </c>
      <c r="F67" s="34">
        <v>6091000</v>
      </c>
      <c r="G67" s="34">
        <f>+E67+F67</f>
        <v>25862000</v>
      </c>
      <c r="H67" s="34">
        <f aca="true" t="shared" si="6" ref="H67:H82">+D67-G67</f>
        <v>81049000</v>
      </c>
      <c r="I67" s="201">
        <f aca="true" t="shared" si="7" ref="I67:I83">G67/D67*100</f>
        <v>24.190214290391072</v>
      </c>
      <c r="K67" s="226"/>
      <c r="L67" s="270"/>
      <c r="M67" s="270"/>
    </row>
    <row r="68" spans="1:11" ht="15">
      <c r="A68" s="33">
        <v>13310102</v>
      </c>
      <c r="B68" s="314" t="s">
        <v>1162</v>
      </c>
      <c r="C68" s="314"/>
      <c r="D68" s="34">
        <f>44823000+114092000+K79+172401000</f>
        <v>331316000</v>
      </c>
      <c r="E68" s="34">
        <v>262037417.17000002</v>
      </c>
      <c r="F68" s="34">
        <v>7470000</v>
      </c>
      <c r="G68" s="34">
        <f aca="true" t="shared" si="8" ref="G68:G82">+E68+F68</f>
        <v>269507417.17</v>
      </c>
      <c r="H68" s="34">
        <f t="shared" si="6"/>
        <v>61808582.82999998</v>
      </c>
      <c r="I68" s="201">
        <f t="shared" si="7"/>
        <v>81.34452219935048</v>
      </c>
      <c r="J68" s="270"/>
      <c r="K68" s="1"/>
    </row>
    <row r="69" spans="1:11" ht="15">
      <c r="A69" s="33">
        <v>13310102</v>
      </c>
      <c r="B69" s="314" t="s">
        <v>1160</v>
      </c>
      <c r="C69" s="314"/>
      <c r="D69" s="34">
        <f>21230000+28538000+24876000+118881000</f>
        <v>193525000</v>
      </c>
      <c r="E69" s="34">
        <v>138297000</v>
      </c>
      <c r="F69" s="34">
        <v>3522000</v>
      </c>
      <c r="G69" s="34">
        <f t="shared" si="8"/>
        <v>141819000</v>
      </c>
      <c r="H69" s="34">
        <f t="shared" si="6"/>
        <v>51706000</v>
      </c>
      <c r="I69" s="201">
        <f t="shared" si="7"/>
        <v>73.2820049089265</v>
      </c>
      <c r="K69" s="215"/>
    </row>
    <row r="70" spans="1:11" ht="15">
      <c r="A70" s="33">
        <v>13310102</v>
      </c>
      <c r="B70" s="308" t="s">
        <v>1208</v>
      </c>
      <c r="C70" s="308"/>
      <c r="D70" s="34">
        <f>93960000+139600000+314400000-15911796.77+108904796.77</f>
        <v>640953000</v>
      </c>
      <c r="E70" s="34">
        <v>157654673</v>
      </c>
      <c r="F70" s="34">
        <f>52965364+27190419</f>
        <v>80155783</v>
      </c>
      <c r="G70" s="34">
        <f>+E70+F70</f>
        <v>237810456</v>
      </c>
      <c r="H70" s="34">
        <f t="shared" si="6"/>
        <v>403142544</v>
      </c>
      <c r="I70" s="201">
        <f t="shared" si="7"/>
        <v>37.102635606666944</v>
      </c>
      <c r="K70" s="215"/>
    </row>
    <row r="71" spans="1:11" ht="15">
      <c r="A71" s="33">
        <v>13310102</v>
      </c>
      <c r="B71" s="314" t="s">
        <v>1169</v>
      </c>
      <c r="C71" s="314"/>
      <c r="D71" s="34">
        <v>8855000</v>
      </c>
      <c r="E71" s="34">
        <v>2214000</v>
      </c>
      <c r="F71" s="34">
        <v>738000</v>
      </c>
      <c r="G71" s="34">
        <f t="shared" si="8"/>
        <v>2952000</v>
      </c>
      <c r="H71" s="34">
        <f t="shared" si="6"/>
        <v>5903000</v>
      </c>
      <c r="I71" s="201">
        <f t="shared" si="7"/>
        <v>33.33709768492377</v>
      </c>
      <c r="J71" s="270"/>
      <c r="K71" s="1"/>
    </row>
    <row r="72" spans="1:11" ht="15">
      <c r="A72" s="33">
        <v>13310102</v>
      </c>
      <c r="B72" s="311" t="s">
        <v>1184</v>
      </c>
      <c r="C72" s="312"/>
      <c r="D72" s="71">
        <v>25526000</v>
      </c>
      <c r="E72" s="34">
        <v>8886496.666666666</v>
      </c>
      <c r="F72" s="34">
        <v>3379665</v>
      </c>
      <c r="G72" s="34">
        <f t="shared" si="8"/>
        <v>12266161.666666666</v>
      </c>
      <c r="H72" s="34">
        <f t="shared" si="6"/>
        <v>13259838.333333334</v>
      </c>
      <c r="I72" s="201">
        <f t="shared" si="7"/>
        <v>48.05359894486667</v>
      </c>
      <c r="J72" s="270"/>
      <c r="K72" s="215"/>
    </row>
    <row r="73" spans="1:11" ht="15">
      <c r="A73" s="33">
        <v>13310102</v>
      </c>
      <c r="B73" s="311" t="s">
        <v>1172</v>
      </c>
      <c r="C73" s="312"/>
      <c r="D73" s="71">
        <v>8000000</v>
      </c>
      <c r="E73" s="34">
        <v>2000021.8813798465</v>
      </c>
      <c r="F73" s="34">
        <f>5078000/10155666.67*E73</f>
        <v>1000043.763118789</v>
      </c>
      <c r="G73" s="34">
        <f t="shared" si="8"/>
        <v>3000065.6444986355</v>
      </c>
      <c r="H73" s="34">
        <f t="shared" si="6"/>
        <v>4999934.355501365</v>
      </c>
      <c r="I73" s="201">
        <f t="shared" si="7"/>
        <v>37.500820556232945</v>
      </c>
      <c r="K73" s="1"/>
    </row>
    <row r="74" spans="1:11" ht="15">
      <c r="A74" s="33">
        <v>13310102</v>
      </c>
      <c r="B74" s="311" t="s">
        <v>1173</v>
      </c>
      <c r="C74" s="312"/>
      <c r="D74" s="71">
        <v>9960000</v>
      </c>
      <c r="E74" s="34">
        <v>2490027.242317909</v>
      </c>
      <c r="F74" s="34">
        <f aca="true" t="shared" si="9" ref="F74:F80">5078000/10155666.67*E74</f>
        <v>1245054.4850828922</v>
      </c>
      <c r="G74" s="34">
        <f t="shared" si="8"/>
        <v>3735081.727400801</v>
      </c>
      <c r="H74" s="34">
        <f t="shared" si="6"/>
        <v>6224918.272599199</v>
      </c>
      <c r="I74" s="201">
        <f t="shared" si="7"/>
        <v>37.500820556232945</v>
      </c>
      <c r="J74" s="270"/>
      <c r="K74" s="1"/>
    </row>
    <row r="75" spans="1:11" ht="15">
      <c r="A75" s="33">
        <v>13310102</v>
      </c>
      <c r="B75" s="306" t="s">
        <v>35</v>
      </c>
      <c r="C75" s="307"/>
      <c r="D75" s="71">
        <v>8585000</v>
      </c>
      <c r="E75" s="34">
        <v>2145000</v>
      </c>
      <c r="F75" s="34">
        <v>715000</v>
      </c>
      <c r="G75" s="34">
        <f>+E75+F75</f>
        <v>2860000</v>
      </c>
      <c r="H75" s="34">
        <f t="shared" si="6"/>
        <v>5725000</v>
      </c>
      <c r="I75" s="201">
        <f t="shared" si="7"/>
        <v>33.313919627256844</v>
      </c>
      <c r="J75" s="270"/>
      <c r="K75" s="269">
        <f>1390901000-D83</f>
        <v>0</v>
      </c>
    </row>
    <row r="76" spans="1:11" ht="15">
      <c r="A76" s="33">
        <v>13310102</v>
      </c>
      <c r="B76" s="314" t="s">
        <v>1174</v>
      </c>
      <c r="C76" s="314"/>
      <c r="D76" s="34">
        <v>8000000</v>
      </c>
      <c r="E76" s="34">
        <v>2000021.8813798465</v>
      </c>
      <c r="F76" s="34">
        <f>5078000/10155666.67*E76</f>
        <v>1000043.763118789</v>
      </c>
      <c r="G76" s="34">
        <f t="shared" si="8"/>
        <v>3000065.6444986355</v>
      </c>
      <c r="H76" s="34">
        <f t="shared" si="6"/>
        <v>4999934.355501365</v>
      </c>
      <c r="I76" s="201">
        <f t="shared" si="7"/>
        <v>37.500820556232945</v>
      </c>
      <c r="J76" s="270"/>
      <c r="K76" s="1"/>
    </row>
    <row r="77" spans="1:11" ht="15">
      <c r="A77" s="33">
        <v>13310102</v>
      </c>
      <c r="B77" s="311" t="s">
        <v>1176</v>
      </c>
      <c r="C77" s="312"/>
      <c r="D77" s="71">
        <v>9014000</v>
      </c>
      <c r="E77" s="34">
        <v>2253524.654844742</v>
      </c>
      <c r="F77" s="34">
        <f>5078000/10155666.67*E77</f>
        <v>1126799.3100940953</v>
      </c>
      <c r="G77" s="34">
        <f t="shared" si="8"/>
        <v>3380323.964938837</v>
      </c>
      <c r="H77" s="34">
        <f t="shared" si="6"/>
        <v>5633676.035061163</v>
      </c>
      <c r="I77" s="201">
        <f t="shared" si="7"/>
        <v>37.50082055623294</v>
      </c>
      <c r="J77" s="270"/>
      <c r="K77" s="269"/>
    </row>
    <row r="78" spans="1:11" ht="15">
      <c r="A78" s="33">
        <v>13310102</v>
      </c>
      <c r="B78" s="311" t="s">
        <v>1190</v>
      </c>
      <c r="C78" s="312"/>
      <c r="D78" s="71">
        <v>8000000</v>
      </c>
      <c r="E78" s="34">
        <v>2000021.8813798465</v>
      </c>
      <c r="F78" s="34">
        <f t="shared" si="9"/>
        <v>1000043.763118789</v>
      </c>
      <c r="G78" s="34">
        <f t="shared" si="8"/>
        <v>3000065.6444986355</v>
      </c>
      <c r="H78" s="34">
        <f t="shared" si="6"/>
        <v>4999934.355501365</v>
      </c>
      <c r="I78" s="201">
        <f t="shared" si="7"/>
        <v>37.500820556232945</v>
      </c>
      <c r="J78" s="270"/>
      <c r="K78" s="1"/>
    </row>
    <row r="79" spans="1:11" ht="15">
      <c r="A79" s="33">
        <v>13310102</v>
      </c>
      <c r="B79" s="311" t="s">
        <v>1178</v>
      </c>
      <c r="C79" s="312"/>
      <c r="D79" s="71">
        <v>8000000</v>
      </c>
      <c r="E79" s="34">
        <v>2000021.8813798465</v>
      </c>
      <c r="F79" s="34">
        <f t="shared" si="9"/>
        <v>1000043.763118789</v>
      </c>
      <c r="G79" s="34">
        <f t="shared" si="8"/>
        <v>3000065.6444986355</v>
      </c>
      <c r="H79" s="34">
        <f t="shared" si="6"/>
        <v>4999934.355501365</v>
      </c>
      <c r="I79" s="201">
        <f t="shared" si="7"/>
        <v>37.500820556232945</v>
      </c>
      <c r="J79" s="270"/>
      <c r="K79" s="1"/>
    </row>
    <row r="80" spans="1:11" ht="15">
      <c r="A80" s="33">
        <v>13310102</v>
      </c>
      <c r="B80" s="311" t="s">
        <v>1179</v>
      </c>
      <c r="C80" s="312"/>
      <c r="D80" s="71">
        <v>9960000</v>
      </c>
      <c r="E80" s="34">
        <v>2490027.242317909</v>
      </c>
      <c r="F80" s="34">
        <f t="shared" si="9"/>
        <v>1245054.4850828922</v>
      </c>
      <c r="G80" s="34">
        <f t="shared" si="8"/>
        <v>3735081.727400801</v>
      </c>
      <c r="H80" s="34">
        <f t="shared" si="6"/>
        <v>6224918.272599199</v>
      </c>
      <c r="I80" s="201">
        <f t="shared" si="7"/>
        <v>37.500820556232945</v>
      </c>
      <c r="J80" s="270"/>
      <c r="K80" s="1"/>
    </row>
    <row r="81" spans="1:11" ht="15">
      <c r="A81" s="33">
        <v>13310102</v>
      </c>
      <c r="B81" s="314" t="s">
        <v>1181</v>
      </c>
      <c r="C81" s="314"/>
      <c r="D81" s="34">
        <v>8296000</v>
      </c>
      <c r="E81" s="34">
        <v>1786500</v>
      </c>
      <c r="F81" s="34">
        <f>1191000/2</f>
        <v>595500</v>
      </c>
      <c r="G81" s="34">
        <f t="shared" si="8"/>
        <v>2382000</v>
      </c>
      <c r="H81" s="34">
        <f t="shared" si="6"/>
        <v>5914000</v>
      </c>
      <c r="I81" s="201">
        <f t="shared" si="7"/>
        <v>28.712632594021215</v>
      </c>
      <c r="J81" s="270"/>
      <c r="K81" s="269"/>
    </row>
    <row r="82" spans="1:11" ht="15">
      <c r="A82" s="33">
        <v>13310102</v>
      </c>
      <c r="B82" s="341" t="s">
        <v>1182</v>
      </c>
      <c r="C82" s="342"/>
      <c r="D82" s="58">
        <v>6000000</v>
      </c>
      <c r="E82" s="34">
        <v>1786500</v>
      </c>
      <c r="F82" s="34">
        <f>1191000/2</f>
        <v>595500</v>
      </c>
      <c r="G82" s="34">
        <f t="shared" si="8"/>
        <v>2382000</v>
      </c>
      <c r="H82" s="34">
        <f t="shared" si="6"/>
        <v>3618000</v>
      </c>
      <c r="I82" s="201">
        <f t="shared" si="7"/>
        <v>39.7</v>
      </c>
      <c r="J82" s="270"/>
      <c r="K82" s="1"/>
    </row>
    <row r="83" spans="1:11" ht="15.75" thickBot="1">
      <c r="A83" s="40"/>
      <c r="B83" s="328" t="s">
        <v>36</v>
      </c>
      <c r="C83" s="328"/>
      <c r="D83" s="49">
        <f>+D67+D68+D69+D70+D71+D72+D73+D74+D75+D76+D77+D78+D79+D80+D81+D82</f>
        <v>1390901000</v>
      </c>
      <c r="E83" s="49">
        <f>SUM(E67:E82)</f>
        <v>609812253.5016667</v>
      </c>
      <c r="F83" s="49">
        <f>SUM(F67:F82)</f>
        <v>110879531.33273503</v>
      </c>
      <c r="G83" s="49">
        <f>SUM(G67:G82)</f>
        <v>720691784.8344015</v>
      </c>
      <c r="H83" s="49">
        <f>SUM(H67:H82)</f>
        <v>670209215.1655985</v>
      </c>
      <c r="I83" s="45">
        <f t="shared" si="7"/>
        <v>51.814743452941755</v>
      </c>
      <c r="J83" s="270"/>
      <c r="K83" s="1"/>
    </row>
    <row r="84" spans="1:11" ht="15.75" thickTop="1">
      <c r="A84" s="2"/>
      <c r="B84" s="329" t="s">
        <v>1148</v>
      </c>
      <c r="C84" s="329"/>
      <c r="D84" s="19"/>
      <c r="E84" s="19"/>
      <c r="F84" s="19"/>
      <c r="G84" s="19"/>
      <c r="H84" s="19"/>
      <c r="I84" s="171"/>
      <c r="K84" s="1"/>
    </row>
    <row r="85" spans="1:11" ht="15">
      <c r="A85" s="33">
        <v>130120</v>
      </c>
      <c r="B85" s="314" t="s">
        <v>1163</v>
      </c>
      <c r="C85" s="314"/>
      <c r="D85" s="206">
        <f>54730000</f>
        <v>54730000</v>
      </c>
      <c r="E85" s="34">
        <v>52730000</v>
      </c>
      <c r="F85" s="35">
        <v>0</v>
      </c>
      <c r="G85" s="34">
        <f>+E85+F85</f>
        <v>52730000</v>
      </c>
      <c r="H85" s="34">
        <f>+D85-G85</f>
        <v>2000000</v>
      </c>
      <c r="I85" s="156">
        <f>G85/D85*100</f>
        <v>96.34569705828613</v>
      </c>
      <c r="K85" s="1"/>
    </row>
    <row r="86" spans="1:11" ht="15">
      <c r="A86" s="33">
        <v>130120</v>
      </c>
      <c r="B86" s="311" t="s">
        <v>1210</v>
      </c>
      <c r="C86" s="312"/>
      <c r="D86" s="206">
        <v>1500000000</v>
      </c>
      <c r="E86" s="34">
        <v>0</v>
      </c>
      <c r="F86" s="35">
        <v>0</v>
      </c>
      <c r="G86" s="34">
        <f>+E86+F86</f>
        <v>0</v>
      </c>
      <c r="H86" s="34">
        <f>+D86-G86</f>
        <v>1500000000</v>
      </c>
      <c r="I86" s="156">
        <f>G86/D86*100</f>
        <v>0</v>
      </c>
      <c r="K86" s="1"/>
    </row>
    <row r="87" spans="1:11" ht="15">
      <c r="A87" s="33">
        <v>130120</v>
      </c>
      <c r="B87" s="306" t="s">
        <v>1205</v>
      </c>
      <c r="C87" s="307"/>
      <c r="D87" s="206">
        <v>106206350</v>
      </c>
      <c r="E87" s="34">
        <v>0</v>
      </c>
      <c r="F87" s="35">
        <v>0</v>
      </c>
      <c r="G87" s="34">
        <f>+E87+F87</f>
        <v>0</v>
      </c>
      <c r="H87" s="34">
        <f>+D87-G87</f>
        <v>106206350</v>
      </c>
      <c r="I87" s="156">
        <f>G87/D87*100</f>
        <v>0</v>
      </c>
      <c r="K87" s="1"/>
    </row>
    <row r="88" spans="1:11" ht="15">
      <c r="A88" s="33">
        <v>130114</v>
      </c>
      <c r="B88" s="311" t="s">
        <v>1209</v>
      </c>
      <c r="C88" s="312"/>
      <c r="D88" s="206">
        <v>483611000</v>
      </c>
      <c r="E88" s="34">
        <v>197789826.87</v>
      </c>
      <c r="F88" s="34">
        <f>60000000+60000000+25200000</f>
        <v>145200000</v>
      </c>
      <c r="G88" s="34">
        <f>+E88+F88</f>
        <v>342989826.87</v>
      </c>
      <c r="H88" s="34">
        <f>+D88-G88</f>
        <v>140621173.13</v>
      </c>
      <c r="I88" s="156">
        <f>G88/D88*100</f>
        <v>70.92266860555281</v>
      </c>
      <c r="K88" s="269"/>
    </row>
    <row r="89" spans="1:9" ht="15">
      <c r="A89" s="205"/>
      <c r="B89" s="330" t="s">
        <v>1149</v>
      </c>
      <c r="C89" s="330"/>
      <c r="D89" s="213">
        <f>SUM(D85:D88)</f>
        <v>2144547350</v>
      </c>
      <c r="E89" s="213">
        <f>SUM(E85:E88)</f>
        <v>250519826.87</v>
      </c>
      <c r="F89" s="213">
        <f>SUM(F85:F88)</f>
        <v>145200000</v>
      </c>
      <c r="G89" s="213">
        <f>SUM(G85:G88)</f>
        <v>395719826.87</v>
      </c>
      <c r="H89" s="213">
        <f>SUM(H85:H88)</f>
        <v>1748827523.13</v>
      </c>
      <c r="I89" s="156">
        <f>G89/D89*100</f>
        <v>18.452370700511693</v>
      </c>
    </row>
    <row r="90" spans="1:11" ht="15">
      <c r="A90" s="2"/>
      <c r="B90" s="329" t="s">
        <v>1152</v>
      </c>
      <c r="C90" s="329"/>
      <c r="D90" s="214"/>
      <c r="E90" s="19"/>
      <c r="F90" s="19"/>
      <c r="G90" s="19"/>
      <c r="H90" s="19"/>
      <c r="I90" s="171"/>
      <c r="K90" s="1"/>
    </row>
    <row r="91" spans="1:11" ht="15">
      <c r="A91" s="33">
        <v>13110105</v>
      </c>
      <c r="B91" s="306" t="s">
        <v>1203</v>
      </c>
      <c r="C91" s="307"/>
      <c r="D91" s="206">
        <v>446310000</v>
      </c>
      <c r="E91" s="34">
        <v>0</v>
      </c>
      <c r="F91" s="216">
        <v>63392363</v>
      </c>
      <c r="G91" s="34">
        <f>+E91+F91</f>
        <v>63392363</v>
      </c>
      <c r="H91" s="34">
        <f aca="true" t="shared" si="10" ref="H91:H101">+D91-G91</f>
        <v>382917637</v>
      </c>
      <c r="I91" s="156">
        <f aca="true" t="shared" si="11" ref="I91:I103">G91/D91*100</f>
        <v>14.203661804575296</v>
      </c>
      <c r="K91" s="161"/>
    </row>
    <row r="92" spans="1:11" ht="15">
      <c r="A92" s="33">
        <v>13110105</v>
      </c>
      <c r="B92" s="311" t="s">
        <v>1155</v>
      </c>
      <c r="C92" s="312"/>
      <c r="D92" s="206">
        <v>511982000</v>
      </c>
      <c r="E92" s="206">
        <v>139914200</v>
      </c>
      <c r="F92" s="206">
        <v>0</v>
      </c>
      <c r="G92" s="34">
        <f aca="true" t="shared" si="12" ref="G92:G101">+E92+F92</f>
        <v>139914200</v>
      </c>
      <c r="H92" s="34">
        <f t="shared" si="10"/>
        <v>372067800</v>
      </c>
      <c r="I92" s="156">
        <f t="shared" si="11"/>
        <v>27.327952935845403</v>
      </c>
      <c r="K92" s="1"/>
    </row>
    <row r="93" spans="1:11" ht="15">
      <c r="A93" s="33">
        <v>13120158</v>
      </c>
      <c r="B93" s="306" t="s">
        <v>1226</v>
      </c>
      <c r="C93" s="307"/>
      <c r="D93" s="206">
        <v>98970000</v>
      </c>
      <c r="E93" s="34">
        <v>73193000</v>
      </c>
      <c r="F93" s="206">
        <v>0</v>
      </c>
      <c r="G93" s="34">
        <f t="shared" si="12"/>
        <v>73193000</v>
      </c>
      <c r="H93" s="34">
        <f t="shared" si="10"/>
        <v>25777000</v>
      </c>
      <c r="I93" s="156">
        <f t="shared" si="11"/>
        <v>73.95473375770435</v>
      </c>
      <c r="K93" s="1"/>
    </row>
    <row r="94" spans="1:11" ht="15">
      <c r="A94" s="33">
        <v>13120159</v>
      </c>
      <c r="B94" s="306" t="s">
        <v>1206</v>
      </c>
      <c r="C94" s="307"/>
      <c r="D94" s="206">
        <v>328900000</v>
      </c>
      <c r="E94" s="34">
        <v>0</v>
      </c>
      <c r="F94" s="206">
        <v>0</v>
      </c>
      <c r="G94" s="34">
        <f t="shared" si="12"/>
        <v>0</v>
      </c>
      <c r="H94" s="34">
        <f t="shared" si="10"/>
        <v>328900000</v>
      </c>
      <c r="I94" s="156">
        <f t="shared" si="11"/>
        <v>0</v>
      </c>
      <c r="K94" s="1"/>
    </row>
    <row r="95" spans="1:11" ht="15">
      <c r="A95" s="33">
        <v>130123</v>
      </c>
      <c r="B95" s="306" t="s">
        <v>1186</v>
      </c>
      <c r="C95" s="307"/>
      <c r="D95" s="206">
        <v>125245000</v>
      </c>
      <c r="E95" s="34">
        <v>132545000</v>
      </c>
      <c r="F95" s="206">
        <v>55635000</v>
      </c>
      <c r="G95" s="34">
        <f t="shared" si="12"/>
        <v>188180000</v>
      </c>
      <c r="H95" s="34">
        <f t="shared" si="10"/>
        <v>-62935000</v>
      </c>
      <c r="I95" s="156">
        <f t="shared" si="11"/>
        <v>150.2495109585213</v>
      </c>
      <c r="K95" s="1"/>
    </row>
    <row r="96" spans="1:11" ht="15">
      <c r="A96" s="33">
        <v>13120184</v>
      </c>
      <c r="B96" s="306" t="s">
        <v>1207</v>
      </c>
      <c r="C96" s="307"/>
      <c r="D96" s="206">
        <v>35500000</v>
      </c>
      <c r="E96" s="34">
        <v>0</v>
      </c>
      <c r="F96" s="206">
        <v>20000000</v>
      </c>
      <c r="G96" s="34">
        <f t="shared" si="12"/>
        <v>20000000</v>
      </c>
      <c r="H96" s="34">
        <f t="shared" si="10"/>
        <v>15500000</v>
      </c>
      <c r="I96" s="156">
        <f t="shared" si="11"/>
        <v>56.33802816901409</v>
      </c>
      <c r="K96" s="1"/>
    </row>
    <row r="97" spans="1:11" ht="15">
      <c r="A97" s="33">
        <v>13210127</v>
      </c>
      <c r="B97" s="314" t="s">
        <v>1202</v>
      </c>
      <c r="C97" s="314"/>
      <c r="D97" s="206">
        <v>195171000</v>
      </c>
      <c r="E97" s="34">
        <v>0</v>
      </c>
      <c r="F97" s="34">
        <v>0</v>
      </c>
      <c r="G97" s="34">
        <f t="shared" si="12"/>
        <v>0</v>
      </c>
      <c r="H97" s="34">
        <f t="shared" si="10"/>
        <v>195171000</v>
      </c>
      <c r="I97" s="156">
        <f t="shared" si="11"/>
        <v>0</v>
      </c>
      <c r="K97" s="1"/>
    </row>
    <row r="98" spans="1:11" ht="15">
      <c r="A98" s="33">
        <v>130118</v>
      </c>
      <c r="B98" s="314" t="s">
        <v>1157</v>
      </c>
      <c r="C98" s="314"/>
      <c r="D98" s="206">
        <v>5733000</v>
      </c>
      <c r="E98" s="34">
        <v>0</v>
      </c>
      <c r="F98" s="34">
        <v>0</v>
      </c>
      <c r="G98" s="34">
        <f t="shared" si="12"/>
        <v>0</v>
      </c>
      <c r="H98" s="34">
        <f t="shared" si="10"/>
        <v>5733000</v>
      </c>
      <c r="I98" s="156">
        <f t="shared" si="11"/>
        <v>0</v>
      </c>
      <c r="K98" s="1"/>
    </row>
    <row r="99" spans="1:11" ht="15">
      <c r="A99" s="33">
        <v>130108</v>
      </c>
      <c r="B99" s="306" t="s">
        <v>1193</v>
      </c>
      <c r="C99" s="307"/>
      <c r="D99" s="206">
        <v>698377592</v>
      </c>
      <c r="E99" s="206">
        <v>0</v>
      </c>
      <c r="F99" s="206">
        <v>0</v>
      </c>
      <c r="G99" s="34">
        <f t="shared" si="12"/>
        <v>0</v>
      </c>
      <c r="H99" s="34">
        <f t="shared" si="10"/>
        <v>698377592</v>
      </c>
      <c r="I99" s="156">
        <f t="shared" si="11"/>
        <v>0</v>
      </c>
      <c r="K99" s="1"/>
    </row>
    <row r="100" spans="1:11" ht="15">
      <c r="A100" s="33">
        <v>130107</v>
      </c>
      <c r="B100" s="311" t="s">
        <v>168</v>
      </c>
      <c r="C100" s="312"/>
      <c r="D100" s="206">
        <v>16453446.77</v>
      </c>
      <c r="E100" s="216">
        <v>0</v>
      </c>
      <c r="F100" s="34">
        <v>0</v>
      </c>
      <c r="G100" s="34">
        <f t="shared" si="12"/>
        <v>0</v>
      </c>
      <c r="H100" s="34">
        <f t="shared" si="10"/>
        <v>16453446.77</v>
      </c>
      <c r="I100" s="156">
        <f t="shared" si="11"/>
        <v>0</v>
      </c>
      <c r="K100" s="1"/>
    </row>
    <row r="101" spans="1:11" ht="15">
      <c r="A101" s="33">
        <v>130121</v>
      </c>
      <c r="B101" s="311" t="s">
        <v>1086</v>
      </c>
      <c r="C101" s="312"/>
      <c r="D101" s="206">
        <v>1600000000</v>
      </c>
      <c r="E101" s="34">
        <v>478593950</v>
      </c>
      <c r="F101" s="34">
        <v>0</v>
      </c>
      <c r="G101" s="34">
        <f t="shared" si="12"/>
        <v>478593950</v>
      </c>
      <c r="H101" s="34">
        <f t="shared" si="10"/>
        <v>1121406050</v>
      </c>
      <c r="I101" s="156">
        <f t="shared" si="11"/>
        <v>29.912121874999997</v>
      </c>
      <c r="K101" s="1"/>
    </row>
    <row r="102" spans="1:9" ht="15">
      <c r="A102" s="205"/>
      <c r="B102" s="330" t="s">
        <v>1153</v>
      </c>
      <c r="C102" s="330"/>
      <c r="D102" s="172">
        <f>SUM(D91:D101)</f>
        <v>4062642038.77</v>
      </c>
      <c r="E102" s="172">
        <f>SUM(E91:E101)</f>
        <v>824246150</v>
      </c>
      <c r="F102" s="172">
        <f>SUM(F91:F101)</f>
        <v>139027363</v>
      </c>
      <c r="G102" s="172">
        <f>SUM(G91:G101)</f>
        <v>963273513</v>
      </c>
      <c r="H102" s="172">
        <f>SUM(H91:H101)</f>
        <v>3099368525.77</v>
      </c>
      <c r="I102" s="156">
        <f t="shared" si="11"/>
        <v>23.71051901219531</v>
      </c>
    </row>
    <row r="103" spans="1:9" ht="15.75" thickBot="1">
      <c r="A103" s="217"/>
      <c r="B103" s="328" t="s">
        <v>43</v>
      </c>
      <c r="C103" s="328"/>
      <c r="D103" s="219">
        <f>+D61+D65+D83+D89+D102</f>
        <v>29983894368.77</v>
      </c>
      <c r="E103" s="219">
        <f>+E61+E65+E83+E89+E102</f>
        <v>6949826075.991667</v>
      </c>
      <c r="F103" s="219">
        <f>+F61+F65+F83+F89+F102</f>
        <v>1639540598.9627352</v>
      </c>
      <c r="G103" s="219">
        <f>+G61+G65+G83+G89+G102</f>
        <v>8589366674.954401</v>
      </c>
      <c r="H103" s="219">
        <f>H61+H65+H83+H89+H102</f>
        <v>25558754013.8156</v>
      </c>
      <c r="I103" s="156">
        <f t="shared" si="11"/>
        <v>28.64660130306734</v>
      </c>
    </row>
    <row r="104" spans="1:9" ht="15.75" thickTop="1">
      <c r="A104" s="2"/>
      <c r="B104" s="16"/>
      <c r="C104" s="16"/>
      <c r="D104" s="14"/>
      <c r="E104" s="14"/>
      <c r="F104" s="14"/>
      <c r="G104" s="14"/>
      <c r="H104" s="14"/>
      <c r="I104" s="15"/>
    </row>
    <row r="105" spans="4:7" ht="15">
      <c r="D105" s="161"/>
      <c r="E105" s="161"/>
      <c r="F105" s="161"/>
      <c r="G105" s="161"/>
    </row>
    <row r="109" spans="4:6" ht="15.75">
      <c r="D109" s="271"/>
      <c r="E109"/>
      <c r="F109"/>
    </row>
  </sheetData>
  <sheetProtection/>
  <mergeCells count="86"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8:C28"/>
    <mergeCell ref="B29:C29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2:C52"/>
    <mergeCell ref="D53:I53"/>
    <mergeCell ref="B54:C54"/>
    <mergeCell ref="B58:C58"/>
    <mergeCell ref="B60:C60"/>
    <mergeCell ref="B61:C61"/>
    <mergeCell ref="B62:C62"/>
    <mergeCell ref="A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8:C88"/>
    <mergeCell ref="B89:C89"/>
    <mergeCell ref="B90:C90"/>
    <mergeCell ref="B92:C92"/>
    <mergeCell ref="B97:C97"/>
    <mergeCell ref="B98:C98"/>
    <mergeCell ref="B100:C100"/>
    <mergeCell ref="B101:C101"/>
    <mergeCell ref="B102:C102"/>
    <mergeCell ref="B103:C10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="85" zoomScaleNormal="85" zoomScalePageLayoutView="0" workbookViewId="0" topLeftCell="A59">
      <selection activeCell="F71" sqref="F71"/>
    </sheetView>
  </sheetViews>
  <sheetFormatPr defaultColWidth="9.140625" defaultRowHeight="15"/>
  <cols>
    <col min="1" max="1" width="11.140625" style="0" customWidth="1"/>
    <col min="3" max="3" width="35.421875" style="0" customWidth="1"/>
    <col min="4" max="4" width="21.140625" style="0" customWidth="1"/>
    <col min="5" max="5" width="19.7109375" style="1" customWidth="1"/>
    <col min="6" max="6" width="19.8515625" style="0" customWidth="1"/>
    <col min="7" max="7" width="19.140625" style="0" customWidth="1"/>
    <col min="8" max="8" width="17.28125" style="0" customWidth="1"/>
    <col min="9" max="9" width="12.7109375" style="0" customWidth="1"/>
    <col min="11" max="11" width="19.421875" style="0" bestFit="1" customWidth="1"/>
  </cols>
  <sheetData>
    <row r="1" spans="1:12" ht="18">
      <c r="A1" s="320" t="s">
        <v>45</v>
      </c>
      <c r="B1" s="320"/>
      <c r="C1" s="320"/>
      <c r="D1" s="320"/>
      <c r="E1" s="320"/>
      <c r="F1" s="320"/>
      <c r="G1" s="320"/>
      <c r="H1" s="320"/>
      <c r="I1" s="320"/>
      <c r="K1" s="1"/>
      <c r="L1" s="1"/>
    </row>
    <row r="2" spans="1:12" ht="18">
      <c r="A2" s="320" t="s">
        <v>1084</v>
      </c>
      <c r="B2" s="320"/>
      <c r="C2" s="320"/>
      <c r="D2" s="320"/>
      <c r="E2" s="320"/>
      <c r="F2" s="320"/>
      <c r="G2" s="320"/>
      <c r="H2" s="320"/>
      <c r="I2" s="320"/>
      <c r="K2" s="1"/>
      <c r="L2" s="1"/>
    </row>
    <row r="3" spans="1:12" ht="15.75" customHeight="1">
      <c r="A3" s="321"/>
      <c r="B3" s="322" t="s">
        <v>0</v>
      </c>
      <c r="C3" s="322"/>
      <c r="D3" s="323" t="s">
        <v>1068</v>
      </c>
      <c r="E3" s="324" t="s">
        <v>1071</v>
      </c>
      <c r="F3" s="326" t="s">
        <v>1085</v>
      </c>
      <c r="G3" s="324" t="s">
        <v>1088</v>
      </c>
      <c r="H3" s="322" t="s">
        <v>2</v>
      </c>
      <c r="I3" s="322" t="s">
        <v>1</v>
      </c>
      <c r="K3" s="1"/>
      <c r="L3" s="1"/>
    </row>
    <row r="4" spans="1:12" ht="15.75" customHeight="1">
      <c r="A4" s="321"/>
      <c r="B4" s="322"/>
      <c r="C4" s="322"/>
      <c r="D4" s="323"/>
      <c r="E4" s="325"/>
      <c r="F4" s="326"/>
      <c r="G4" s="325"/>
      <c r="H4" s="322"/>
      <c r="I4" s="322"/>
      <c r="K4" s="1"/>
      <c r="L4" s="1"/>
    </row>
    <row r="5" spans="1:12" ht="19.5" customHeight="1">
      <c r="A5" s="2"/>
      <c r="B5" s="327" t="s">
        <v>4</v>
      </c>
      <c r="C5" s="327"/>
      <c r="D5" s="17"/>
      <c r="E5" s="17"/>
      <c r="F5" s="17"/>
      <c r="G5" s="17" t="s">
        <v>53</v>
      </c>
      <c r="H5" s="17"/>
      <c r="I5" s="9"/>
      <c r="K5" s="1"/>
      <c r="L5" s="1"/>
    </row>
    <row r="6" spans="1:12" ht="15">
      <c r="A6" s="46">
        <v>110851</v>
      </c>
      <c r="B6" s="314" t="s">
        <v>1097</v>
      </c>
      <c r="C6" s="314"/>
      <c r="D6" s="34">
        <v>1460000000</v>
      </c>
      <c r="E6" s="34">
        <v>0</v>
      </c>
      <c r="F6" s="66">
        <v>0</v>
      </c>
      <c r="G6" s="34">
        <f aca="true" t="shared" si="0" ref="G6:G14">E6+F6</f>
        <v>0</v>
      </c>
      <c r="H6" s="34">
        <f aca="true" t="shared" si="1" ref="H6:H16">D6-G6</f>
        <v>1460000000</v>
      </c>
      <c r="I6" s="41">
        <f aca="true" t="shared" si="2" ref="I6:I16">G6/D6*100</f>
        <v>0</v>
      </c>
      <c r="K6" s="161"/>
      <c r="L6" s="1"/>
    </row>
    <row r="7" spans="1:12" ht="15">
      <c r="A7" s="46">
        <v>110851</v>
      </c>
      <c r="B7" s="314" t="s">
        <v>1098</v>
      </c>
      <c r="C7" s="314"/>
      <c r="D7" s="34"/>
      <c r="E7" s="34">
        <v>73601083.68</v>
      </c>
      <c r="F7" s="66">
        <f>4219009.27+1200000</f>
        <v>5419009.27</v>
      </c>
      <c r="G7" s="34">
        <f t="shared" si="0"/>
        <v>79020092.95</v>
      </c>
      <c r="H7" s="34"/>
      <c r="I7" s="41"/>
      <c r="K7" s="161"/>
      <c r="L7" s="1"/>
    </row>
    <row r="8" spans="1:12" ht="15">
      <c r="A8" s="46">
        <v>140283</v>
      </c>
      <c r="B8" s="314" t="s">
        <v>7</v>
      </c>
      <c r="C8" s="314"/>
      <c r="D8" s="34">
        <v>20000000</v>
      </c>
      <c r="E8" s="34">
        <v>400000</v>
      </c>
      <c r="F8" s="66">
        <v>0</v>
      </c>
      <c r="G8" s="34">
        <f t="shared" si="0"/>
        <v>400000</v>
      </c>
      <c r="H8" s="34">
        <f t="shared" si="1"/>
        <v>19600000</v>
      </c>
      <c r="I8" s="41">
        <f t="shared" si="2"/>
        <v>2</v>
      </c>
      <c r="K8" s="1"/>
      <c r="L8" s="1"/>
    </row>
    <row r="9" spans="1:12" ht="15.75">
      <c r="A9" s="46">
        <v>140289</v>
      </c>
      <c r="B9" s="314" t="s">
        <v>58</v>
      </c>
      <c r="C9" s="314"/>
      <c r="D9" s="34">
        <v>3000000</v>
      </c>
      <c r="E9" s="34">
        <v>0</v>
      </c>
      <c r="F9" s="66">
        <v>0</v>
      </c>
      <c r="G9" s="34">
        <f t="shared" si="0"/>
        <v>0</v>
      </c>
      <c r="H9" s="34">
        <f t="shared" si="1"/>
        <v>3000000</v>
      </c>
      <c r="I9" s="41">
        <f t="shared" si="2"/>
        <v>0</v>
      </c>
      <c r="K9" s="160"/>
      <c r="L9" s="1"/>
    </row>
    <row r="10" spans="1:12" ht="15">
      <c r="A10" s="46">
        <v>140291</v>
      </c>
      <c r="B10" s="314" t="s">
        <v>8</v>
      </c>
      <c r="C10" s="314"/>
      <c r="D10" s="34">
        <v>20000000</v>
      </c>
      <c r="E10" s="34">
        <v>4625000</v>
      </c>
      <c r="F10" s="66">
        <v>0</v>
      </c>
      <c r="G10" s="34">
        <f t="shared" si="0"/>
        <v>4625000</v>
      </c>
      <c r="H10" s="34">
        <f t="shared" si="1"/>
        <v>15375000</v>
      </c>
      <c r="I10" s="41">
        <f t="shared" si="2"/>
        <v>23.125</v>
      </c>
      <c r="K10" s="161"/>
      <c r="L10" s="1"/>
    </row>
    <row r="11" spans="1:12" ht="15">
      <c r="A11" s="46">
        <v>140292</v>
      </c>
      <c r="B11" s="314" t="s">
        <v>9</v>
      </c>
      <c r="C11" s="314"/>
      <c r="D11" s="34">
        <v>2400000</v>
      </c>
      <c r="E11" s="34">
        <v>525000</v>
      </c>
      <c r="F11" s="66">
        <v>0</v>
      </c>
      <c r="G11" s="34">
        <f t="shared" si="0"/>
        <v>525000</v>
      </c>
      <c r="H11" s="34">
        <f t="shared" si="1"/>
        <v>1875000</v>
      </c>
      <c r="I11" s="41">
        <f t="shared" si="2"/>
        <v>21.875</v>
      </c>
      <c r="K11" s="1"/>
      <c r="L11" s="1"/>
    </row>
    <row r="12" spans="1:12" ht="15">
      <c r="A12" s="46">
        <v>140387</v>
      </c>
      <c r="B12" s="314" t="s">
        <v>14</v>
      </c>
      <c r="C12" s="314"/>
      <c r="D12" s="34">
        <v>2000000</v>
      </c>
      <c r="E12" s="34">
        <v>0</v>
      </c>
      <c r="F12" s="164">
        <v>0</v>
      </c>
      <c r="G12" s="34">
        <f t="shared" si="0"/>
        <v>0</v>
      </c>
      <c r="H12" s="34">
        <f t="shared" si="1"/>
        <v>2000000</v>
      </c>
      <c r="I12" s="41">
        <f t="shared" si="2"/>
        <v>0</v>
      </c>
      <c r="K12" s="1"/>
      <c r="L12" s="1"/>
    </row>
    <row r="13" spans="1:12" ht="15">
      <c r="A13" s="46">
        <v>140353</v>
      </c>
      <c r="B13" s="314" t="s">
        <v>57</v>
      </c>
      <c r="C13" s="314"/>
      <c r="D13" s="34">
        <v>256400000</v>
      </c>
      <c r="E13" s="34">
        <v>0</v>
      </c>
      <c r="F13" s="34">
        <v>0</v>
      </c>
      <c r="G13" s="34">
        <f t="shared" si="0"/>
        <v>0</v>
      </c>
      <c r="H13" s="34">
        <f t="shared" si="1"/>
        <v>256400000</v>
      </c>
      <c r="I13" s="41">
        <f t="shared" si="2"/>
        <v>0</v>
      </c>
      <c r="K13" s="1"/>
      <c r="L13" s="1"/>
    </row>
    <row r="14" spans="1:12" ht="15">
      <c r="A14" s="46">
        <v>140392</v>
      </c>
      <c r="B14" s="311" t="s">
        <v>67</v>
      </c>
      <c r="C14" s="312"/>
      <c r="D14" s="71">
        <v>1200000</v>
      </c>
      <c r="E14" s="34">
        <v>600000</v>
      </c>
      <c r="F14" s="34">
        <v>0</v>
      </c>
      <c r="G14" s="34">
        <f t="shared" si="0"/>
        <v>600000</v>
      </c>
      <c r="H14" s="34">
        <f t="shared" si="1"/>
        <v>600000</v>
      </c>
      <c r="I14" s="41">
        <f t="shared" si="2"/>
        <v>50</v>
      </c>
      <c r="K14" s="1"/>
      <c r="L14" s="1"/>
    </row>
    <row r="15" spans="1:12" ht="15">
      <c r="A15" s="46">
        <v>140505</v>
      </c>
      <c r="B15" s="314" t="s">
        <v>6</v>
      </c>
      <c r="C15" s="314"/>
      <c r="D15" s="34">
        <v>56000000</v>
      </c>
      <c r="E15" s="34">
        <v>1218500</v>
      </c>
      <c r="F15" s="66">
        <f>5000+500000+40000+15000+13500+4500+22500+27000+19000+4500+4500+18000+5000+356000+4500+13500+20000</f>
        <v>1072500</v>
      </c>
      <c r="G15" s="34">
        <f>E15+F15</f>
        <v>2291000</v>
      </c>
      <c r="H15" s="34">
        <f>D15-G15</f>
        <v>53709000</v>
      </c>
      <c r="I15" s="41">
        <f>G15/D15*100</f>
        <v>4.0910714285714285</v>
      </c>
      <c r="K15" s="1"/>
      <c r="L15" s="1"/>
    </row>
    <row r="16" spans="1:12" ht="15.75" thickBot="1">
      <c r="A16" s="18"/>
      <c r="B16" s="313" t="s">
        <v>3</v>
      </c>
      <c r="C16" s="313"/>
      <c r="D16" s="49">
        <f>SUM(D6:D15)</f>
        <v>1821000000</v>
      </c>
      <c r="E16" s="49">
        <v>80969583.68</v>
      </c>
      <c r="F16" s="49">
        <f>SUM(F6:F15)</f>
        <v>6491509.27</v>
      </c>
      <c r="G16" s="44">
        <f>E16+F16</f>
        <v>87461092.95</v>
      </c>
      <c r="H16" s="44">
        <f t="shared" si="1"/>
        <v>1733538907.05</v>
      </c>
      <c r="I16" s="45">
        <f t="shared" si="2"/>
        <v>4.802915593080725</v>
      </c>
      <c r="K16" s="1"/>
      <c r="L16" s="1"/>
    </row>
    <row r="17" spans="1:12" ht="15.75" thickTop="1">
      <c r="A17" s="9"/>
      <c r="B17" s="10"/>
      <c r="C17" s="10"/>
      <c r="D17" s="19"/>
      <c r="E17" s="19"/>
      <c r="F17" s="19"/>
      <c r="G17" s="19"/>
      <c r="H17" s="19"/>
      <c r="I17" s="165"/>
      <c r="K17" s="1"/>
      <c r="L17" s="1"/>
    </row>
    <row r="18" spans="1:12" ht="15">
      <c r="A18" s="9"/>
      <c r="B18" s="327" t="s">
        <v>10</v>
      </c>
      <c r="C18" s="327"/>
      <c r="D18" s="19"/>
      <c r="E18" s="19"/>
      <c r="F18" s="19"/>
      <c r="G18" s="19"/>
      <c r="H18" s="19"/>
      <c r="I18" s="165"/>
      <c r="K18" s="1"/>
      <c r="L18" s="1"/>
    </row>
    <row r="19" spans="1:12" ht="15">
      <c r="A19" s="46">
        <v>140370</v>
      </c>
      <c r="B19" s="314" t="s">
        <v>12</v>
      </c>
      <c r="C19" s="314"/>
      <c r="D19" s="34">
        <v>9000000</v>
      </c>
      <c r="E19" s="34">
        <v>90000</v>
      </c>
      <c r="F19" s="66">
        <f>52000</f>
        <v>52000</v>
      </c>
      <c r="G19" s="34">
        <f>E19+F19</f>
        <v>142000</v>
      </c>
      <c r="H19" s="34">
        <f>D19-G19</f>
        <v>8858000</v>
      </c>
      <c r="I19" s="41">
        <f>G19/D19*100</f>
        <v>1.577777777777778</v>
      </c>
      <c r="K19" s="1"/>
      <c r="L19" s="1"/>
    </row>
    <row r="20" spans="1:12" ht="15">
      <c r="A20" s="46">
        <v>140371</v>
      </c>
      <c r="B20" s="314" t="s">
        <v>13</v>
      </c>
      <c r="C20" s="314"/>
      <c r="D20" s="34">
        <v>20000000</v>
      </c>
      <c r="E20" s="34">
        <v>1230000</v>
      </c>
      <c r="F20" s="164">
        <f>2070000+1065000</f>
        <v>3135000</v>
      </c>
      <c r="G20" s="34">
        <f>E20+F20</f>
        <v>4365000</v>
      </c>
      <c r="H20" s="34">
        <f>D20-G20</f>
        <v>15635000</v>
      </c>
      <c r="I20" s="41">
        <f>G20/D20*100</f>
        <v>21.825</v>
      </c>
      <c r="K20" s="1"/>
      <c r="L20" s="1"/>
    </row>
    <row r="21" spans="1:12" ht="15">
      <c r="A21" s="46">
        <v>110852</v>
      </c>
      <c r="B21" s="314" t="s">
        <v>11</v>
      </c>
      <c r="C21" s="314"/>
      <c r="D21" s="34">
        <v>18000000</v>
      </c>
      <c r="E21" s="34">
        <v>0</v>
      </c>
      <c r="F21" s="34">
        <v>0</v>
      </c>
      <c r="G21" s="34">
        <f>E21+F21</f>
        <v>0</v>
      </c>
      <c r="H21" s="34">
        <f>D21-G21</f>
        <v>18000000</v>
      </c>
      <c r="I21" s="41">
        <f>G21/D21*100</f>
        <v>0</v>
      </c>
      <c r="K21" s="1"/>
      <c r="L21" s="1"/>
    </row>
    <row r="22" spans="1:12" ht="15.75" thickBot="1">
      <c r="A22" s="9"/>
      <c r="B22" s="313" t="s">
        <v>3</v>
      </c>
      <c r="C22" s="313"/>
      <c r="D22" s="49">
        <f>SUM(D19:D21)</f>
        <v>47000000</v>
      </c>
      <c r="E22" s="49">
        <v>1320000</v>
      </c>
      <c r="F22" s="44">
        <f>SUM(F19:F20)</f>
        <v>3187000</v>
      </c>
      <c r="G22" s="44">
        <f>E22+F22</f>
        <v>4507000</v>
      </c>
      <c r="H22" s="44">
        <f>D22-G22</f>
        <v>42493000</v>
      </c>
      <c r="I22" s="45">
        <f>G22/D22*100</f>
        <v>9.58936170212766</v>
      </c>
      <c r="K22" s="1"/>
      <c r="L22" s="1"/>
    </row>
    <row r="23" spans="1:12" ht="15.75" thickTop="1">
      <c r="A23" s="9"/>
      <c r="B23" s="70"/>
      <c r="C23" s="70"/>
      <c r="D23" s="67"/>
      <c r="E23" s="67"/>
      <c r="F23" s="26"/>
      <c r="G23" s="21"/>
      <c r="H23" s="21"/>
      <c r="I23" s="166"/>
      <c r="K23" s="1"/>
      <c r="L23" s="1"/>
    </row>
    <row r="24" spans="1:12" ht="15">
      <c r="A24" s="9"/>
      <c r="B24" s="327" t="s">
        <v>15</v>
      </c>
      <c r="C24" s="327"/>
      <c r="D24" s="19"/>
      <c r="E24" s="19"/>
      <c r="F24" s="19"/>
      <c r="G24" s="19"/>
      <c r="H24" s="19"/>
      <c r="I24" s="165"/>
      <c r="K24" s="1"/>
      <c r="L24" s="1"/>
    </row>
    <row r="25" spans="1:12" ht="15">
      <c r="A25" s="46">
        <v>110809</v>
      </c>
      <c r="B25" s="314" t="s">
        <v>16</v>
      </c>
      <c r="C25" s="314"/>
      <c r="D25" s="34">
        <v>3000000</v>
      </c>
      <c r="E25" s="34">
        <v>0</v>
      </c>
      <c r="F25" s="34">
        <v>0</v>
      </c>
      <c r="G25" s="34">
        <f aca="true" t="shared" si="3" ref="G25:G31">E25+F25</f>
        <v>0</v>
      </c>
      <c r="H25" s="34">
        <f aca="true" t="shared" si="4" ref="H25:H31">D25-G25</f>
        <v>3000000</v>
      </c>
      <c r="I25" s="41">
        <f aca="true" t="shared" si="5" ref="I25:I31">G25/D25*100</f>
        <v>0</v>
      </c>
      <c r="K25" s="1"/>
      <c r="L25" s="1"/>
    </row>
    <row r="26" spans="1:12" ht="15">
      <c r="A26" s="46">
        <v>110810</v>
      </c>
      <c r="B26" s="314" t="s">
        <v>17</v>
      </c>
      <c r="C26" s="314"/>
      <c r="D26" s="34">
        <v>25000000</v>
      </c>
      <c r="E26" s="34">
        <v>13750000</v>
      </c>
      <c r="F26" s="164">
        <f>900000</f>
        <v>900000</v>
      </c>
      <c r="G26" s="34">
        <f t="shared" si="3"/>
        <v>14650000</v>
      </c>
      <c r="H26" s="34">
        <f t="shared" si="4"/>
        <v>10350000</v>
      </c>
      <c r="I26" s="41">
        <f t="shared" si="5"/>
        <v>58.599999999999994</v>
      </c>
      <c r="K26" s="1"/>
      <c r="L26" s="1"/>
    </row>
    <row r="27" spans="1:12" ht="15">
      <c r="A27" s="46">
        <v>110806</v>
      </c>
      <c r="B27" s="159" t="s">
        <v>46</v>
      </c>
      <c r="C27" s="159"/>
      <c r="D27" s="34">
        <v>35000000</v>
      </c>
      <c r="E27" s="34">
        <v>0</v>
      </c>
      <c r="F27" s="34">
        <v>0</v>
      </c>
      <c r="G27" s="34">
        <f t="shared" si="3"/>
        <v>0</v>
      </c>
      <c r="H27" s="34">
        <f t="shared" si="4"/>
        <v>35000000</v>
      </c>
      <c r="I27" s="41">
        <f t="shared" si="5"/>
        <v>0</v>
      </c>
      <c r="K27" s="1"/>
      <c r="L27" s="1"/>
    </row>
    <row r="28" spans="1:12" ht="15">
      <c r="A28" s="46">
        <v>110807</v>
      </c>
      <c r="B28" s="159" t="s">
        <v>47</v>
      </c>
      <c r="C28" s="159"/>
      <c r="D28" s="34">
        <v>3000000</v>
      </c>
      <c r="E28" s="34">
        <v>0</v>
      </c>
      <c r="F28" s="34">
        <v>0</v>
      </c>
      <c r="G28" s="34">
        <f t="shared" si="3"/>
        <v>0</v>
      </c>
      <c r="H28" s="34">
        <f t="shared" si="4"/>
        <v>3000000</v>
      </c>
      <c r="I28" s="41">
        <f t="shared" si="5"/>
        <v>0</v>
      </c>
      <c r="K28" s="1"/>
      <c r="L28" s="1"/>
    </row>
    <row r="29" spans="1:12" ht="15">
      <c r="A29" s="46"/>
      <c r="B29" s="311" t="s">
        <v>69</v>
      </c>
      <c r="C29" s="312"/>
      <c r="D29" s="71">
        <v>15000000</v>
      </c>
      <c r="E29" s="34">
        <v>625000</v>
      </c>
      <c r="F29" s="34">
        <v>0</v>
      </c>
      <c r="G29" s="34">
        <f t="shared" si="3"/>
        <v>625000</v>
      </c>
      <c r="H29" s="34">
        <f t="shared" si="4"/>
        <v>14375000</v>
      </c>
      <c r="I29" s="41">
        <f t="shared" si="5"/>
        <v>4.166666666666666</v>
      </c>
      <c r="K29" s="1"/>
      <c r="L29" s="1"/>
    </row>
    <row r="30" spans="1:12" ht="15">
      <c r="A30" s="46"/>
      <c r="B30" s="311" t="s">
        <v>70</v>
      </c>
      <c r="C30" s="312"/>
      <c r="D30" s="71">
        <v>2500000</v>
      </c>
      <c r="E30" s="34">
        <v>0</v>
      </c>
      <c r="F30" s="34">
        <v>0</v>
      </c>
      <c r="G30" s="34">
        <f t="shared" si="3"/>
        <v>0</v>
      </c>
      <c r="H30" s="34">
        <f t="shared" si="4"/>
        <v>2500000</v>
      </c>
      <c r="I30" s="41">
        <f t="shared" si="5"/>
        <v>0</v>
      </c>
      <c r="K30" s="1"/>
      <c r="L30" s="1"/>
    </row>
    <row r="31" spans="1:12" ht="15.75" thickBot="1">
      <c r="A31" s="9"/>
      <c r="B31" s="328" t="s">
        <v>3</v>
      </c>
      <c r="C31" s="328"/>
      <c r="D31" s="49">
        <f>SUM(D25:D30)</f>
        <v>83500000</v>
      </c>
      <c r="E31" s="49">
        <v>14375000</v>
      </c>
      <c r="F31" s="44">
        <f>SUM(F25:F30)</f>
        <v>900000</v>
      </c>
      <c r="G31" s="44">
        <f t="shared" si="3"/>
        <v>15275000</v>
      </c>
      <c r="H31" s="44">
        <f t="shared" si="4"/>
        <v>68225000</v>
      </c>
      <c r="I31" s="45">
        <f t="shared" si="5"/>
        <v>18.293413173652695</v>
      </c>
      <c r="K31" s="1"/>
      <c r="L31" s="1"/>
    </row>
    <row r="32" spans="1:12" ht="15.75" thickTop="1">
      <c r="A32" s="9"/>
      <c r="B32" s="70"/>
      <c r="C32" s="70"/>
      <c r="D32" s="67"/>
      <c r="E32" s="67"/>
      <c r="F32" s="67"/>
      <c r="G32" s="19"/>
      <c r="H32" s="19"/>
      <c r="I32" s="165"/>
      <c r="K32" s="1"/>
      <c r="L32" s="1"/>
    </row>
    <row r="33" spans="1:12" ht="15">
      <c r="A33" s="9"/>
      <c r="B33" s="318" t="s">
        <v>18</v>
      </c>
      <c r="C33" s="318"/>
      <c r="D33" s="67"/>
      <c r="E33" s="67"/>
      <c r="F33" s="67"/>
      <c r="G33" s="19"/>
      <c r="H33" s="19"/>
      <c r="I33" s="165"/>
      <c r="K33" s="1"/>
      <c r="L33" s="1"/>
    </row>
    <row r="34" spans="1:12" ht="15">
      <c r="A34" s="46">
        <v>140348</v>
      </c>
      <c r="B34" s="314" t="s">
        <v>19</v>
      </c>
      <c r="C34" s="314"/>
      <c r="D34" s="34">
        <v>40000000</v>
      </c>
      <c r="E34" s="34">
        <v>500000</v>
      </c>
      <c r="F34" s="66">
        <v>0</v>
      </c>
      <c r="G34" s="34">
        <f>E34+F34</f>
        <v>500000</v>
      </c>
      <c r="H34" s="34">
        <f>D34-G34</f>
        <v>39500000</v>
      </c>
      <c r="I34" s="41">
        <f>G34/D34*100</f>
        <v>1.25</v>
      </c>
      <c r="K34" s="1"/>
      <c r="L34" s="1"/>
    </row>
    <row r="35" spans="1:12" ht="15">
      <c r="A35" s="46">
        <v>140349</v>
      </c>
      <c r="B35" s="314" t="s">
        <v>20</v>
      </c>
      <c r="C35" s="314"/>
      <c r="D35" s="34">
        <v>4000000</v>
      </c>
      <c r="E35" s="34">
        <v>1470000</v>
      </c>
      <c r="F35" s="66">
        <v>0</v>
      </c>
      <c r="G35" s="34">
        <f>E35+F35</f>
        <v>1470000</v>
      </c>
      <c r="H35" s="34">
        <f>D35-G35</f>
        <v>2530000</v>
      </c>
      <c r="I35" s="41">
        <f>G35/D35*100</f>
        <v>36.75</v>
      </c>
      <c r="K35" s="1"/>
      <c r="L35" s="1"/>
    </row>
    <row r="36" spans="1:12" ht="15">
      <c r="A36" s="46"/>
      <c r="B36" s="311" t="s">
        <v>68</v>
      </c>
      <c r="C36" s="312"/>
      <c r="D36" s="71">
        <v>4000000</v>
      </c>
      <c r="E36" s="34">
        <v>20000</v>
      </c>
      <c r="F36" s="34">
        <v>0</v>
      </c>
      <c r="G36" s="34">
        <f>E36+F36</f>
        <v>20000</v>
      </c>
      <c r="H36" s="34">
        <f>D36-G36</f>
        <v>3980000</v>
      </c>
      <c r="I36" s="41">
        <f>G36/D36*100</f>
        <v>0.5</v>
      </c>
      <c r="K36" s="1"/>
      <c r="L36" s="1"/>
    </row>
    <row r="37" spans="1:12" ht="15.75" thickBot="1">
      <c r="A37" s="9"/>
      <c r="B37" s="328" t="s">
        <v>3</v>
      </c>
      <c r="C37" s="328"/>
      <c r="D37" s="49">
        <f>SUM(D34:D36)</f>
        <v>48000000</v>
      </c>
      <c r="E37" s="49">
        <v>1990000</v>
      </c>
      <c r="F37" s="44">
        <f>SUM(F34:F36)</f>
        <v>0</v>
      </c>
      <c r="G37" s="44">
        <f>E37+F37</f>
        <v>1990000</v>
      </c>
      <c r="H37" s="44">
        <f>D37-G37</f>
        <v>46010000</v>
      </c>
      <c r="I37" s="45">
        <f>G37/D37*100</f>
        <v>4.145833333333333</v>
      </c>
      <c r="K37" s="1"/>
      <c r="L37" s="1"/>
    </row>
    <row r="38" spans="1:12" ht="15.75" thickTop="1">
      <c r="A38" s="9"/>
      <c r="B38" s="315"/>
      <c r="C38" s="315"/>
      <c r="D38" s="19"/>
      <c r="E38" s="19"/>
      <c r="F38" s="19"/>
      <c r="G38" s="19"/>
      <c r="H38" s="19"/>
      <c r="I38" s="165"/>
      <c r="K38" s="1"/>
      <c r="L38" s="1"/>
    </row>
    <row r="39" spans="1:12" ht="15.75">
      <c r="A39" s="76"/>
      <c r="B39" s="318" t="s">
        <v>21</v>
      </c>
      <c r="C39" s="318"/>
      <c r="D39" s="19"/>
      <c r="E39" s="19"/>
      <c r="F39" s="19"/>
      <c r="G39" s="19"/>
      <c r="H39" s="19"/>
      <c r="I39" s="165"/>
      <c r="K39" s="1"/>
      <c r="L39" s="1"/>
    </row>
    <row r="40" spans="1:12" ht="15">
      <c r="A40" s="46">
        <v>110802</v>
      </c>
      <c r="B40" s="314" t="s">
        <v>22</v>
      </c>
      <c r="C40" s="314"/>
      <c r="D40" s="34">
        <v>4500000</v>
      </c>
      <c r="E40" s="34">
        <v>0</v>
      </c>
      <c r="F40" s="34">
        <v>0</v>
      </c>
      <c r="G40" s="34">
        <f>E40+F40</f>
        <v>0</v>
      </c>
      <c r="H40" s="34">
        <f>D40-G40</f>
        <v>4500000</v>
      </c>
      <c r="I40" s="41">
        <f>G40/D40*100</f>
        <v>0</v>
      </c>
      <c r="K40" s="1"/>
      <c r="L40" s="1"/>
    </row>
    <row r="41" spans="1:12" ht="15">
      <c r="A41" s="46">
        <v>140289</v>
      </c>
      <c r="B41" s="314" t="s">
        <v>23</v>
      </c>
      <c r="C41" s="314"/>
      <c r="D41" s="34">
        <v>5000000</v>
      </c>
      <c r="E41" s="34">
        <v>0</v>
      </c>
      <c r="F41" s="66">
        <v>0</v>
      </c>
      <c r="G41" s="34">
        <f>E41+F41</f>
        <v>0</v>
      </c>
      <c r="H41" s="34">
        <f>D41-G41</f>
        <v>5000000</v>
      </c>
      <c r="I41" s="41">
        <f>G41/D41*100</f>
        <v>0</v>
      </c>
      <c r="K41" s="1"/>
      <c r="L41" s="1"/>
    </row>
    <row r="42" spans="1:12" ht="15.75" thickBot="1">
      <c r="A42" s="9"/>
      <c r="B42" s="328" t="s">
        <v>3</v>
      </c>
      <c r="C42" s="328"/>
      <c r="D42" s="49">
        <f>SUM(D40:D41)</f>
        <v>9500000</v>
      </c>
      <c r="E42" s="49">
        <f>SUM(E40:E41)</f>
        <v>0</v>
      </c>
      <c r="F42" s="49">
        <f>SUM(F40:F41)</f>
        <v>0</v>
      </c>
      <c r="G42" s="44">
        <f>E42+F42</f>
        <v>0</v>
      </c>
      <c r="H42" s="44">
        <f>D42-G42</f>
        <v>9500000</v>
      </c>
      <c r="I42" s="45">
        <f>G42/D42*100</f>
        <v>0</v>
      </c>
      <c r="K42" s="1"/>
      <c r="L42" s="1"/>
    </row>
    <row r="43" spans="1:12" ht="15.75" thickTop="1">
      <c r="A43" s="9"/>
      <c r="B43" s="70"/>
      <c r="C43" s="70"/>
      <c r="D43" s="67"/>
      <c r="E43" s="67"/>
      <c r="F43" s="67"/>
      <c r="G43" s="19"/>
      <c r="H43" s="19"/>
      <c r="I43" s="165"/>
      <c r="K43" s="1"/>
      <c r="L43" s="1"/>
    </row>
    <row r="44" spans="1:12" ht="15">
      <c r="A44" s="9"/>
      <c r="B44" s="329" t="s">
        <v>24</v>
      </c>
      <c r="C44" s="329"/>
      <c r="D44" s="67"/>
      <c r="E44" s="67"/>
      <c r="F44" s="67"/>
      <c r="G44" s="19"/>
      <c r="H44" s="19"/>
      <c r="I44" s="165"/>
      <c r="K44" s="1"/>
      <c r="L44" s="1"/>
    </row>
    <row r="45" spans="1:12" ht="15">
      <c r="A45" s="46">
        <v>140376</v>
      </c>
      <c r="B45" s="314" t="s">
        <v>25</v>
      </c>
      <c r="C45" s="314"/>
      <c r="D45" s="34">
        <v>6000000</v>
      </c>
      <c r="E45" s="34">
        <v>1000000</v>
      </c>
      <c r="F45" s="66">
        <v>0</v>
      </c>
      <c r="G45" s="34">
        <f>E45+F45</f>
        <v>1000000</v>
      </c>
      <c r="H45" s="34">
        <f>D45-G45</f>
        <v>5000000</v>
      </c>
      <c r="I45" s="41">
        <f>G45/D45*100</f>
        <v>16.666666666666664</v>
      </c>
      <c r="K45" s="1"/>
      <c r="L45" s="1"/>
    </row>
    <row r="46" spans="1:12" ht="15">
      <c r="A46" s="46">
        <v>140378</v>
      </c>
      <c r="B46" s="314" t="s">
        <v>26</v>
      </c>
      <c r="C46" s="314"/>
      <c r="D46" s="34">
        <v>500000</v>
      </c>
      <c r="E46" s="34">
        <v>2000</v>
      </c>
      <c r="F46" s="164">
        <v>0</v>
      </c>
      <c r="G46" s="34">
        <f>E46+F46</f>
        <v>2000</v>
      </c>
      <c r="H46" s="34">
        <f>D46-G46</f>
        <v>498000</v>
      </c>
      <c r="I46" s="41">
        <f>G46/D46*100</f>
        <v>0.4</v>
      </c>
      <c r="K46" s="1"/>
      <c r="L46" s="1"/>
    </row>
    <row r="47" spans="1:12" ht="15.75" thickBot="1">
      <c r="A47" s="9"/>
      <c r="B47" s="328" t="s">
        <v>3</v>
      </c>
      <c r="C47" s="328"/>
      <c r="D47" s="49">
        <f>SUM(D45:D46)</f>
        <v>6500000</v>
      </c>
      <c r="E47" s="49">
        <v>1002000</v>
      </c>
      <c r="F47" s="44">
        <f>SUM(F45:F46)</f>
        <v>0</v>
      </c>
      <c r="G47" s="44">
        <f>E47+F47</f>
        <v>1002000</v>
      </c>
      <c r="H47" s="44">
        <f>D47-G47</f>
        <v>5498000</v>
      </c>
      <c r="I47" s="45">
        <f>G47/D47*100</f>
        <v>15.415384615384614</v>
      </c>
      <c r="K47" s="1"/>
      <c r="L47" s="1"/>
    </row>
    <row r="48" spans="1:12" ht="15.75" thickTop="1">
      <c r="A48" s="9"/>
      <c r="B48" s="68"/>
      <c r="C48" s="68"/>
      <c r="D48" s="67"/>
      <c r="E48" s="67"/>
      <c r="F48" s="26"/>
      <c r="G48" s="26"/>
      <c r="H48" s="26"/>
      <c r="I48" s="167"/>
      <c r="K48" s="1"/>
      <c r="L48" s="1"/>
    </row>
    <row r="49" spans="1:12" ht="20.25" customHeight="1">
      <c r="A49" s="9"/>
      <c r="B49" s="337" t="s">
        <v>54</v>
      </c>
      <c r="C49" s="337"/>
      <c r="D49" s="19"/>
      <c r="E49" s="19"/>
      <c r="F49" s="19"/>
      <c r="G49" s="19"/>
      <c r="H49" s="19"/>
      <c r="I49" s="165"/>
      <c r="K49" s="1"/>
      <c r="L49" s="1"/>
    </row>
    <row r="50" spans="1:12" ht="18.75" customHeight="1">
      <c r="A50" s="46"/>
      <c r="B50" s="159" t="s">
        <v>51</v>
      </c>
      <c r="C50" s="159"/>
      <c r="D50" s="34">
        <v>114860000</v>
      </c>
      <c r="E50" s="34">
        <v>0</v>
      </c>
      <c r="F50" s="34">
        <v>0</v>
      </c>
      <c r="G50" s="34">
        <f>E50+F50</f>
        <v>0</v>
      </c>
      <c r="H50" s="34">
        <f>D50-G50</f>
        <v>114860000</v>
      </c>
      <c r="I50" s="41">
        <f>G50/D50*100</f>
        <v>0</v>
      </c>
      <c r="K50" s="1"/>
      <c r="L50" s="1"/>
    </row>
    <row r="51" spans="1:12" ht="23.25" customHeight="1">
      <c r="A51" s="51"/>
      <c r="B51" s="154" t="s">
        <v>27</v>
      </c>
      <c r="C51" s="154"/>
      <c r="D51" s="310"/>
      <c r="E51" s="310"/>
      <c r="F51" s="310"/>
      <c r="G51" s="310"/>
      <c r="H51" s="310"/>
      <c r="I51" s="310"/>
      <c r="K51" s="1"/>
      <c r="L51" s="1"/>
    </row>
    <row r="52" spans="1:12" ht="15">
      <c r="A52" s="80">
        <v>140399</v>
      </c>
      <c r="B52" s="311" t="s">
        <v>48</v>
      </c>
      <c r="C52" s="312"/>
      <c r="D52" s="34">
        <v>86560000</v>
      </c>
      <c r="E52" s="34">
        <v>4050000</v>
      </c>
      <c r="F52" s="66">
        <f>120000+500000+60000+160000</f>
        <v>840000</v>
      </c>
      <c r="G52" s="34">
        <f aca="true" t="shared" si="6" ref="G52:G59">E52+F52</f>
        <v>4890000</v>
      </c>
      <c r="H52" s="34">
        <f>D52-G52</f>
        <v>81670000</v>
      </c>
      <c r="I52" s="41">
        <f>G52/D52*100</f>
        <v>5.649260628465804</v>
      </c>
      <c r="K52" s="1"/>
      <c r="L52" s="1"/>
    </row>
    <row r="53" spans="1:12" ht="15">
      <c r="A53" s="46"/>
      <c r="B53" s="159" t="s">
        <v>49</v>
      </c>
      <c r="C53" s="159"/>
      <c r="D53" s="34">
        <v>15700000</v>
      </c>
      <c r="E53" s="34">
        <v>0</v>
      </c>
      <c r="F53" s="66">
        <v>0</v>
      </c>
      <c r="G53" s="34">
        <f t="shared" si="6"/>
        <v>0</v>
      </c>
      <c r="H53" s="34">
        <f>D53-G53</f>
        <v>15700000</v>
      </c>
      <c r="I53" s="41">
        <f>G53/D53*100</f>
        <v>0</v>
      </c>
      <c r="K53" s="1"/>
      <c r="L53" s="1"/>
    </row>
    <row r="54" spans="1:12" ht="15">
      <c r="A54" s="46"/>
      <c r="B54" s="311" t="s">
        <v>50</v>
      </c>
      <c r="C54" s="312"/>
      <c r="D54" s="34">
        <v>13500000</v>
      </c>
      <c r="E54" s="34">
        <v>0</v>
      </c>
      <c r="F54" s="34">
        <v>0</v>
      </c>
      <c r="G54" s="34">
        <f t="shared" si="6"/>
        <v>0</v>
      </c>
      <c r="H54" s="34">
        <f>D54-G54</f>
        <v>13500000</v>
      </c>
      <c r="I54" s="41">
        <f>G54/D54*100</f>
        <v>0</v>
      </c>
      <c r="K54" s="1"/>
      <c r="L54" s="1"/>
    </row>
    <row r="55" spans="1:12" ht="15.75" thickBot="1">
      <c r="A55" s="51"/>
      <c r="B55" s="313" t="s">
        <v>3</v>
      </c>
      <c r="C55" s="313"/>
      <c r="D55" s="49">
        <f>SUM(D52:D54)</f>
        <v>115760000</v>
      </c>
      <c r="E55" s="49">
        <v>4050000</v>
      </c>
      <c r="F55" s="44">
        <f>SUM(F50:F54)</f>
        <v>840000</v>
      </c>
      <c r="G55" s="44">
        <f t="shared" si="6"/>
        <v>4890000</v>
      </c>
      <c r="H55" s="44">
        <f>D55-G55</f>
        <v>110870000</v>
      </c>
      <c r="I55" s="45">
        <f>G55/D55*100</f>
        <v>4.224257083621286</v>
      </c>
      <c r="K55" s="1"/>
      <c r="L55" s="1"/>
    </row>
    <row r="56" spans="1:12" ht="15.75" thickTop="1">
      <c r="A56" s="9"/>
      <c r="B56" s="315"/>
      <c r="C56" s="315"/>
      <c r="D56" s="19"/>
      <c r="E56" s="19"/>
      <c r="F56" s="19"/>
      <c r="G56" s="26">
        <f t="shared" si="6"/>
        <v>0</v>
      </c>
      <c r="H56" s="19"/>
      <c r="I56" s="165"/>
      <c r="K56" s="1"/>
      <c r="L56" s="1"/>
    </row>
    <row r="57" spans="1:12" ht="15">
      <c r="A57" s="9"/>
      <c r="B57" s="149" t="s">
        <v>28</v>
      </c>
      <c r="C57" s="149"/>
      <c r="D57" s="19"/>
      <c r="E57" s="19"/>
      <c r="F57" s="19"/>
      <c r="G57" s="26">
        <f t="shared" si="6"/>
        <v>0</v>
      </c>
      <c r="H57" s="19"/>
      <c r="I57" s="165"/>
      <c r="K57" s="1"/>
      <c r="L57" s="1"/>
    </row>
    <row r="58" spans="1:12" ht="15">
      <c r="A58" s="46">
        <v>140384</v>
      </c>
      <c r="B58" s="314" t="s">
        <v>29</v>
      </c>
      <c r="C58" s="314"/>
      <c r="D58" s="34">
        <v>3000000</v>
      </c>
      <c r="E58" s="34">
        <v>0</v>
      </c>
      <c r="F58" s="56">
        <v>0</v>
      </c>
      <c r="G58" s="39">
        <f t="shared" si="6"/>
        <v>0</v>
      </c>
      <c r="H58" s="57">
        <f>D58-G58</f>
        <v>3000000</v>
      </c>
      <c r="I58" s="41">
        <f>G58/D58*100</f>
        <v>0</v>
      </c>
      <c r="K58" s="1"/>
      <c r="L58" s="1"/>
    </row>
    <row r="59" spans="1:12" ht="15.75" thickBot="1">
      <c r="A59" s="2"/>
      <c r="B59" s="316" t="s">
        <v>30</v>
      </c>
      <c r="C59" s="316"/>
      <c r="D59" s="49">
        <f>D16+D22+D31+D37+D42+D47+D58+D50+D55</f>
        <v>2249120000</v>
      </c>
      <c r="E59" s="49">
        <f>E16+E22+E31+E37+E42+E47+E58+E50+E55</f>
        <v>103706583.68</v>
      </c>
      <c r="F59" s="49">
        <f>F16+F22+F31+F37+F42+F47+F58+F50+F55</f>
        <v>11418509.27</v>
      </c>
      <c r="G59" s="55">
        <f t="shared" si="6"/>
        <v>115125092.95</v>
      </c>
      <c r="H59" s="44">
        <f>D59-G59</f>
        <v>2133994907.05</v>
      </c>
      <c r="I59" s="45">
        <f aca="true" t="shared" si="7" ref="I59:I70">G59/D59*100</f>
        <v>5.118672767571317</v>
      </c>
      <c r="K59" s="26"/>
      <c r="L59" s="1"/>
    </row>
    <row r="60" spans="1:12" ht="15.75" thickTop="1">
      <c r="A60" s="2"/>
      <c r="B60" s="315"/>
      <c r="C60" s="315"/>
      <c r="D60" s="19"/>
      <c r="E60" s="19"/>
      <c r="F60" s="19"/>
      <c r="G60" s="19"/>
      <c r="H60" s="19"/>
      <c r="I60" s="150"/>
      <c r="K60" s="162"/>
      <c r="L60" s="1"/>
    </row>
    <row r="61" spans="1:12" ht="15">
      <c r="A61" s="319" t="s">
        <v>79</v>
      </c>
      <c r="B61" s="319"/>
      <c r="C61" s="319"/>
      <c r="D61" s="168"/>
      <c r="E61" s="168"/>
      <c r="F61" s="168"/>
      <c r="G61" s="168"/>
      <c r="H61" s="168"/>
      <c r="I61" s="168"/>
      <c r="K61" s="162"/>
      <c r="L61" s="1"/>
    </row>
    <row r="62" spans="1:12" ht="15">
      <c r="A62" s="73">
        <v>210101</v>
      </c>
      <c r="B62" s="332" t="s">
        <v>1077</v>
      </c>
      <c r="C62" s="332"/>
      <c r="D62" s="34">
        <v>1827993600</v>
      </c>
      <c r="E62" s="34">
        <v>46705448.150000006</v>
      </c>
      <c r="F62" s="34">
        <f>198857.29+36313094.73+10569916.46</f>
        <v>47081868.48</v>
      </c>
      <c r="G62" s="34">
        <f>E62+F62</f>
        <v>93787316.63</v>
      </c>
      <c r="H62" s="34">
        <f>D62-G62</f>
        <v>1734206283.37</v>
      </c>
      <c r="I62" s="41">
        <f t="shared" si="7"/>
        <v>5.130615152591344</v>
      </c>
      <c r="K62" s="161"/>
      <c r="L62" s="1"/>
    </row>
    <row r="63" spans="1:12" ht="15">
      <c r="A63" s="73">
        <v>210101</v>
      </c>
      <c r="B63" s="332" t="s">
        <v>33</v>
      </c>
      <c r="C63" s="332"/>
      <c r="D63" s="34">
        <v>274512000</v>
      </c>
      <c r="E63" s="34">
        <v>7424008.18</v>
      </c>
      <c r="F63" s="34">
        <v>7845536.5</v>
      </c>
      <c r="G63" s="34">
        <f aca="true" t="shared" si="8" ref="G63:G69">E63+F63</f>
        <v>15269544.68</v>
      </c>
      <c r="H63" s="34">
        <f aca="true" t="shared" si="9" ref="H63:H70">D63-G63</f>
        <v>259242455.32</v>
      </c>
      <c r="I63" s="41">
        <f t="shared" si="7"/>
        <v>5.5624324911115</v>
      </c>
      <c r="K63" s="161"/>
      <c r="L63" s="1"/>
    </row>
    <row r="64" spans="1:12" ht="15">
      <c r="A64" s="73">
        <v>210101</v>
      </c>
      <c r="B64" s="333" t="s">
        <v>1078</v>
      </c>
      <c r="C64" s="334"/>
      <c r="D64" s="34">
        <v>535917600</v>
      </c>
      <c r="E64" s="34">
        <v>21844012.54</v>
      </c>
      <c r="F64" s="34">
        <v>21701954.56</v>
      </c>
      <c r="G64" s="34">
        <f t="shared" si="8"/>
        <v>43545967.099999994</v>
      </c>
      <c r="H64" s="34">
        <f t="shared" si="9"/>
        <v>492371632.9</v>
      </c>
      <c r="I64" s="41">
        <f t="shared" si="7"/>
        <v>8.125496736811776</v>
      </c>
      <c r="K64" s="1"/>
      <c r="L64" s="1"/>
    </row>
    <row r="65" spans="1:12" ht="15">
      <c r="A65" s="73">
        <v>210101</v>
      </c>
      <c r="B65" s="314" t="s">
        <v>52</v>
      </c>
      <c r="C65" s="314"/>
      <c r="D65" s="34">
        <v>7069695000</v>
      </c>
      <c r="E65" s="34">
        <v>345882863.59</v>
      </c>
      <c r="F65" s="34">
        <f>3779288.91+338234368.83</f>
        <v>342013657.74</v>
      </c>
      <c r="G65" s="34">
        <f t="shared" si="8"/>
        <v>687896521.3299999</v>
      </c>
      <c r="H65" s="34">
        <f t="shared" si="9"/>
        <v>6381798478.67</v>
      </c>
      <c r="I65" s="41">
        <f t="shared" si="7"/>
        <v>9.730214971508671</v>
      </c>
      <c r="K65" s="161"/>
      <c r="L65" s="1"/>
    </row>
    <row r="66" spans="1:12" ht="15">
      <c r="A66" s="73">
        <v>210101</v>
      </c>
      <c r="B66" s="314" t="s">
        <v>55</v>
      </c>
      <c r="C66" s="314"/>
      <c r="D66" s="34">
        <v>2759896200</v>
      </c>
      <c r="E66" s="34">
        <v>154588934.69</v>
      </c>
      <c r="F66" s="34">
        <v>153431827.12</v>
      </c>
      <c r="G66" s="34">
        <f t="shared" si="8"/>
        <v>308020761.81</v>
      </c>
      <c r="H66" s="34">
        <f t="shared" si="9"/>
        <v>2451875438.19</v>
      </c>
      <c r="I66" s="41">
        <f t="shared" si="7"/>
        <v>11.160592264665606</v>
      </c>
      <c r="K66" s="161"/>
      <c r="L66" s="1"/>
    </row>
    <row r="67" spans="1:12" ht="15">
      <c r="A67" s="73">
        <v>210101</v>
      </c>
      <c r="B67" s="314" t="s">
        <v>31</v>
      </c>
      <c r="C67" s="314"/>
      <c r="D67" s="34">
        <v>2400969600</v>
      </c>
      <c r="E67" s="34">
        <v>92096695.25</v>
      </c>
      <c r="F67" s="34">
        <f>14387204.32+454169.72+27659066.07+46035352.1+3087942.66</f>
        <v>91623734.87</v>
      </c>
      <c r="G67" s="34">
        <f t="shared" si="8"/>
        <v>183720430.12</v>
      </c>
      <c r="H67" s="34">
        <f t="shared" si="9"/>
        <v>2217249169.88</v>
      </c>
      <c r="I67" s="41">
        <f t="shared" si="7"/>
        <v>7.651926543343156</v>
      </c>
      <c r="K67" s="1"/>
      <c r="L67" s="1"/>
    </row>
    <row r="68" spans="1:12" ht="15">
      <c r="A68" s="73">
        <v>210101</v>
      </c>
      <c r="B68" s="314" t="s">
        <v>35</v>
      </c>
      <c r="C68" s="314"/>
      <c r="D68" s="34">
        <v>99128400</v>
      </c>
      <c r="E68" s="34">
        <v>1864173.33</v>
      </c>
      <c r="F68" s="34">
        <v>1970460.33</v>
      </c>
      <c r="G68" s="34">
        <f t="shared" si="8"/>
        <v>3834633.66</v>
      </c>
      <c r="H68" s="34">
        <f t="shared" si="9"/>
        <v>95293766.34</v>
      </c>
      <c r="I68" s="41">
        <f t="shared" si="7"/>
        <v>3.868350200346218</v>
      </c>
      <c r="K68" s="161"/>
      <c r="L68" s="1"/>
    </row>
    <row r="69" spans="1:12" ht="15">
      <c r="A69" s="73">
        <v>210101</v>
      </c>
      <c r="B69" s="314" t="s">
        <v>32</v>
      </c>
      <c r="C69" s="314"/>
      <c r="D69" s="34">
        <v>77556000</v>
      </c>
      <c r="E69" s="34">
        <v>2189515</v>
      </c>
      <c r="F69" s="34">
        <v>2189515</v>
      </c>
      <c r="G69" s="34">
        <f t="shared" si="8"/>
        <v>4379030</v>
      </c>
      <c r="H69" s="34">
        <f t="shared" si="9"/>
        <v>73176970</v>
      </c>
      <c r="I69" s="41">
        <f t="shared" si="7"/>
        <v>5.646281396668214</v>
      </c>
      <c r="K69" s="1"/>
      <c r="L69" s="1"/>
    </row>
    <row r="70" spans="1:12" ht="15.75" thickBot="1">
      <c r="A70" s="148"/>
      <c r="B70" s="335" t="s">
        <v>1079</v>
      </c>
      <c r="C70" s="336"/>
      <c r="D70" s="44">
        <f>SUM(D62:D69)</f>
        <v>15045668400</v>
      </c>
      <c r="E70" s="44">
        <v>672595650.73</v>
      </c>
      <c r="F70" s="44">
        <f>SUM(F62:F69)</f>
        <v>667858554.6</v>
      </c>
      <c r="G70" s="44">
        <f>SUM(G62:G69)</f>
        <v>1340454205.3300002</v>
      </c>
      <c r="H70" s="44">
        <f t="shared" si="9"/>
        <v>13705214194.67</v>
      </c>
      <c r="I70" s="45">
        <f t="shared" si="7"/>
        <v>8.909236663291079</v>
      </c>
      <c r="K70" s="1"/>
      <c r="L70" s="1"/>
    </row>
    <row r="71" spans="1:12" ht="15.75" thickTop="1">
      <c r="A71" s="72"/>
      <c r="B71" s="153"/>
      <c r="C71" s="153"/>
      <c r="D71" s="26"/>
      <c r="E71" s="26"/>
      <c r="F71" s="26"/>
      <c r="G71" s="21"/>
      <c r="H71" s="21"/>
      <c r="I71" s="166"/>
      <c r="K71" s="1"/>
      <c r="L71" s="1"/>
    </row>
    <row r="72" spans="1:12" ht="15">
      <c r="A72" s="72"/>
      <c r="B72" s="318" t="s">
        <v>44</v>
      </c>
      <c r="C72" s="318"/>
      <c r="D72" s="26"/>
      <c r="E72" s="26"/>
      <c r="F72" s="26"/>
      <c r="G72" s="21"/>
      <c r="H72" s="21"/>
      <c r="I72" s="166"/>
      <c r="K72" s="1"/>
      <c r="L72" s="1"/>
    </row>
    <row r="73" spans="1:12" ht="15">
      <c r="A73" s="40">
        <v>130201</v>
      </c>
      <c r="B73" s="332" t="s">
        <v>1074</v>
      </c>
      <c r="C73" s="332"/>
      <c r="D73" s="34">
        <v>84419800</v>
      </c>
      <c r="E73" s="34">
        <v>58847000</v>
      </c>
      <c r="F73" s="34">
        <v>0</v>
      </c>
      <c r="G73" s="34">
        <f>E73+F73</f>
        <v>58847000</v>
      </c>
      <c r="H73" s="34">
        <f>D73-G73</f>
        <v>25572800</v>
      </c>
      <c r="I73" s="41">
        <f>G73/D73*100</f>
        <v>69.70758044913634</v>
      </c>
      <c r="K73" s="161"/>
      <c r="L73" s="1"/>
    </row>
    <row r="74" spans="1:12" ht="15">
      <c r="A74" s="33">
        <v>130202</v>
      </c>
      <c r="B74" s="314" t="s">
        <v>31</v>
      </c>
      <c r="C74" s="314"/>
      <c r="D74" s="34">
        <v>211311000</v>
      </c>
      <c r="E74" s="34">
        <v>22371000</v>
      </c>
      <c r="F74" s="34">
        <v>0</v>
      </c>
      <c r="G74" s="34">
        <f aca="true" t="shared" si="10" ref="G74:G96">E74+F74</f>
        <v>22371000</v>
      </c>
      <c r="H74" s="34">
        <f aca="true" t="shared" si="11" ref="H74:H96">D74-G74</f>
        <v>188940000</v>
      </c>
      <c r="I74" s="41">
        <f aca="true" t="shared" si="12" ref="I74:I96">G74/D74*100</f>
        <v>10.586765478370742</v>
      </c>
      <c r="K74" s="1"/>
      <c r="L74" s="1"/>
    </row>
    <row r="75" spans="1:12" ht="15">
      <c r="A75" s="33">
        <v>130202</v>
      </c>
      <c r="B75" s="314" t="s">
        <v>32</v>
      </c>
      <c r="C75" s="314"/>
      <c r="D75" s="34">
        <v>15659000</v>
      </c>
      <c r="E75" s="34">
        <v>652500</v>
      </c>
      <c r="F75" s="34">
        <v>0</v>
      </c>
      <c r="G75" s="34">
        <f t="shared" si="10"/>
        <v>652500</v>
      </c>
      <c r="H75" s="34">
        <f t="shared" si="11"/>
        <v>15006500</v>
      </c>
      <c r="I75" s="41">
        <f t="shared" si="12"/>
        <v>4.166932754326585</v>
      </c>
      <c r="K75" s="1"/>
      <c r="L75" s="1"/>
    </row>
    <row r="76" spans="1:12" ht="15">
      <c r="A76" s="33">
        <v>130202</v>
      </c>
      <c r="B76" s="314" t="s">
        <v>1075</v>
      </c>
      <c r="C76" s="314"/>
      <c r="D76" s="34">
        <v>25115000</v>
      </c>
      <c r="E76" s="34">
        <v>2093000</v>
      </c>
      <c r="F76" s="34">
        <v>0</v>
      </c>
      <c r="G76" s="34">
        <f t="shared" si="10"/>
        <v>2093000</v>
      </c>
      <c r="H76" s="34">
        <f t="shared" si="11"/>
        <v>23022000</v>
      </c>
      <c r="I76" s="41">
        <f t="shared" si="12"/>
        <v>8.33366514035437</v>
      </c>
      <c r="K76" s="1"/>
      <c r="L76" s="1"/>
    </row>
    <row r="77" spans="1:12" ht="15">
      <c r="A77" s="33">
        <v>130202</v>
      </c>
      <c r="B77" s="314" t="s">
        <v>1076</v>
      </c>
      <c r="C77" s="314"/>
      <c r="D77" s="34">
        <v>12000000</v>
      </c>
      <c r="E77" s="34">
        <v>0</v>
      </c>
      <c r="F77" s="34">
        <v>0</v>
      </c>
      <c r="G77" s="34">
        <f t="shared" si="10"/>
        <v>0</v>
      </c>
      <c r="H77" s="34">
        <f t="shared" si="11"/>
        <v>12000000</v>
      </c>
      <c r="I77" s="41">
        <v>0</v>
      </c>
      <c r="K77" s="1"/>
      <c r="L77" s="1"/>
    </row>
    <row r="78" spans="1:12" ht="15">
      <c r="A78" s="33">
        <v>130202</v>
      </c>
      <c r="B78" s="314" t="s">
        <v>52</v>
      </c>
      <c r="C78" s="314"/>
      <c r="D78" s="34">
        <v>257208000</v>
      </c>
      <c r="E78" s="34">
        <v>23640000</v>
      </c>
      <c r="F78" s="34">
        <v>0</v>
      </c>
      <c r="G78" s="34">
        <f t="shared" si="10"/>
        <v>23640000</v>
      </c>
      <c r="H78" s="34">
        <f t="shared" si="11"/>
        <v>233568000</v>
      </c>
      <c r="I78" s="41">
        <f t="shared" si="12"/>
        <v>9.191004945413829</v>
      </c>
      <c r="K78" s="161"/>
      <c r="L78" s="1"/>
    </row>
    <row r="79" spans="1:12" ht="15">
      <c r="A79" s="33"/>
      <c r="B79" s="314" t="s">
        <v>34</v>
      </c>
      <c r="C79" s="314"/>
      <c r="D79" s="34">
        <v>212491000</v>
      </c>
      <c r="E79" s="34">
        <v>11120000</v>
      </c>
      <c r="F79" s="34">
        <v>0</v>
      </c>
      <c r="G79" s="34">
        <f t="shared" si="10"/>
        <v>11120000</v>
      </c>
      <c r="H79" s="34">
        <f t="shared" si="11"/>
        <v>201371000</v>
      </c>
      <c r="I79" s="41">
        <f t="shared" si="12"/>
        <v>5.233162816307514</v>
      </c>
      <c r="K79" s="1"/>
      <c r="L79" s="1"/>
    </row>
    <row r="80" spans="1:12" ht="15">
      <c r="A80" s="33"/>
      <c r="B80" s="314" t="s">
        <v>1080</v>
      </c>
      <c r="C80" s="314"/>
      <c r="D80" s="34">
        <v>106123000</v>
      </c>
      <c r="E80" s="34">
        <v>25524000</v>
      </c>
      <c r="F80" s="34">
        <v>0</v>
      </c>
      <c r="G80" s="34">
        <f t="shared" si="10"/>
        <v>25524000</v>
      </c>
      <c r="H80" s="34">
        <f t="shared" si="11"/>
        <v>80599000</v>
      </c>
      <c r="I80" s="41">
        <f t="shared" si="12"/>
        <v>24.051336656521208</v>
      </c>
      <c r="K80" s="1"/>
      <c r="L80" s="1"/>
    </row>
    <row r="81" spans="1:12" ht="15">
      <c r="A81" s="33"/>
      <c r="B81" s="314" t="s">
        <v>1083</v>
      </c>
      <c r="C81" s="314"/>
      <c r="D81" s="34">
        <v>89808000</v>
      </c>
      <c r="E81" s="34">
        <v>0</v>
      </c>
      <c r="F81" s="34">
        <v>0</v>
      </c>
      <c r="G81" s="34">
        <f t="shared" si="10"/>
        <v>0</v>
      </c>
      <c r="H81" s="34">
        <f t="shared" si="11"/>
        <v>89808000</v>
      </c>
      <c r="I81" s="41">
        <f t="shared" si="12"/>
        <v>0</v>
      </c>
      <c r="K81" s="161"/>
      <c r="L81" s="1"/>
    </row>
    <row r="82" spans="1:12" ht="15">
      <c r="A82" s="33">
        <v>130202</v>
      </c>
      <c r="B82" s="314" t="s">
        <v>55</v>
      </c>
      <c r="C82" s="314"/>
      <c r="D82" s="34">
        <v>117496000</v>
      </c>
      <c r="E82" s="34">
        <v>9638000</v>
      </c>
      <c r="F82" s="34">
        <v>0</v>
      </c>
      <c r="G82" s="34">
        <f t="shared" si="10"/>
        <v>9638000</v>
      </c>
      <c r="H82" s="34">
        <f t="shared" si="11"/>
        <v>107858000</v>
      </c>
      <c r="I82" s="41">
        <f t="shared" si="12"/>
        <v>8.202832436848913</v>
      </c>
      <c r="K82" s="161"/>
      <c r="L82" s="1"/>
    </row>
    <row r="83" spans="1:12" ht="15">
      <c r="A83" s="33"/>
      <c r="B83" s="314" t="s">
        <v>56</v>
      </c>
      <c r="C83" s="314"/>
      <c r="D83" s="34">
        <v>74888000</v>
      </c>
      <c r="E83" s="34">
        <v>6255000</v>
      </c>
      <c r="F83" s="34">
        <v>0</v>
      </c>
      <c r="G83" s="34">
        <f t="shared" si="10"/>
        <v>6255000</v>
      </c>
      <c r="H83" s="34">
        <f t="shared" si="11"/>
        <v>68633000</v>
      </c>
      <c r="I83" s="41">
        <f t="shared" si="12"/>
        <v>8.35247302638607</v>
      </c>
      <c r="K83" s="161"/>
      <c r="L83" s="1"/>
    </row>
    <row r="84" spans="1:12" ht="15">
      <c r="A84" s="33"/>
      <c r="B84" s="314" t="s">
        <v>1081</v>
      </c>
      <c r="C84" s="314"/>
      <c r="D84" s="34">
        <v>12350000</v>
      </c>
      <c r="E84" s="34">
        <v>3188000</v>
      </c>
      <c r="F84" s="34">
        <v>0</v>
      </c>
      <c r="G84" s="34">
        <f t="shared" si="10"/>
        <v>3188000</v>
      </c>
      <c r="H84" s="34">
        <f t="shared" si="11"/>
        <v>9162000</v>
      </c>
      <c r="I84" s="41">
        <f t="shared" si="12"/>
        <v>25.81376518218623</v>
      </c>
      <c r="K84" s="161"/>
      <c r="L84" s="1"/>
    </row>
    <row r="85" spans="1:12" ht="15">
      <c r="A85" s="33"/>
      <c r="B85" s="314" t="s">
        <v>1082</v>
      </c>
      <c r="C85" s="314"/>
      <c r="D85" s="34">
        <v>6264000</v>
      </c>
      <c r="E85" s="34">
        <v>0</v>
      </c>
      <c r="F85" s="34">
        <v>0</v>
      </c>
      <c r="G85" s="34">
        <f t="shared" si="10"/>
        <v>0</v>
      </c>
      <c r="H85" s="34">
        <f t="shared" si="11"/>
        <v>6264000</v>
      </c>
      <c r="I85" s="41">
        <f t="shared" si="12"/>
        <v>0</v>
      </c>
      <c r="K85" s="161"/>
      <c r="L85" s="1"/>
    </row>
    <row r="86" spans="1:12" ht="15">
      <c r="A86" s="33">
        <v>130202</v>
      </c>
      <c r="B86" s="314" t="s">
        <v>35</v>
      </c>
      <c r="C86" s="314"/>
      <c r="D86" s="34">
        <v>61721000</v>
      </c>
      <c r="E86" s="34">
        <v>2571500</v>
      </c>
      <c r="F86" s="34">
        <v>0</v>
      </c>
      <c r="G86" s="34">
        <f t="shared" si="10"/>
        <v>2571500</v>
      </c>
      <c r="H86" s="34">
        <f t="shared" si="11"/>
        <v>59149500</v>
      </c>
      <c r="I86" s="41">
        <f t="shared" si="12"/>
        <v>4.166329126229322</v>
      </c>
      <c r="K86" s="1"/>
      <c r="L86" s="1"/>
    </row>
    <row r="87" spans="1:12" ht="15">
      <c r="A87" s="33">
        <v>130202</v>
      </c>
      <c r="B87" s="311" t="s">
        <v>71</v>
      </c>
      <c r="C87" s="312"/>
      <c r="D87" s="71">
        <v>18000000</v>
      </c>
      <c r="E87" s="34">
        <v>0</v>
      </c>
      <c r="F87" s="34">
        <v>0</v>
      </c>
      <c r="G87" s="34">
        <f t="shared" si="10"/>
        <v>0</v>
      </c>
      <c r="H87" s="34">
        <f t="shared" si="11"/>
        <v>18000000</v>
      </c>
      <c r="I87" s="41">
        <f t="shared" si="12"/>
        <v>0</v>
      </c>
      <c r="K87" s="161"/>
      <c r="L87" s="1"/>
    </row>
    <row r="88" spans="1:12" ht="15">
      <c r="A88" s="33">
        <v>130202</v>
      </c>
      <c r="B88" s="311" t="s">
        <v>72</v>
      </c>
      <c r="C88" s="312"/>
      <c r="D88" s="71">
        <v>18000000</v>
      </c>
      <c r="E88" s="34">
        <v>0</v>
      </c>
      <c r="F88" s="34">
        <v>0</v>
      </c>
      <c r="G88" s="34">
        <f t="shared" si="10"/>
        <v>0</v>
      </c>
      <c r="H88" s="34">
        <f t="shared" si="11"/>
        <v>18000000</v>
      </c>
      <c r="I88" s="41">
        <f t="shared" si="12"/>
        <v>0</v>
      </c>
      <c r="K88" s="161"/>
      <c r="L88" s="1"/>
    </row>
    <row r="89" spans="1:12" ht="15">
      <c r="A89" s="33">
        <v>130202</v>
      </c>
      <c r="B89" s="311" t="s">
        <v>73</v>
      </c>
      <c r="C89" s="312"/>
      <c r="D89" s="71">
        <v>12000000</v>
      </c>
      <c r="E89" s="34">
        <v>0</v>
      </c>
      <c r="F89" s="34">
        <v>0</v>
      </c>
      <c r="G89" s="34">
        <f t="shared" si="10"/>
        <v>0</v>
      </c>
      <c r="H89" s="34">
        <f t="shared" si="11"/>
        <v>12000000</v>
      </c>
      <c r="I89" s="41">
        <f t="shared" si="12"/>
        <v>0</v>
      </c>
      <c r="K89" s="1"/>
      <c r="L89" s="1"/>
    </row>
    <row r="90" spans="1:12" ht="15">
      <c r="A90" s="33">
        <v>130202</v>
      </c>
      <c r="B90" s="311" t="s">
        <v>75</v>
      </c>
      <c r="C90" s="312"/>
      <c r="D90" s="71">
        <v>12000000</v>
      </c>
      <c r="E90" s="34">
        <v>0</v>
      </c>
      <c r="F90" s="34">
        <v>0</v>
      </c>
      <c r="G90" s="34">
        <f t="shared" si="10"/>
        <v>0</v>
      </c>
      <c r="H90" s="34">
        <f t="shared" si="11"/>
        <v>12000000</v>
      </c>
      <c r="I90" s="41">
        <f t="shared" si="12"/>
        <v>0</v>
      </c>
      <c r="K90" s="161"/>
      <c r="L90" s="1"/>
    </row>
    <row r="91" spans="1:12" ht="15">
      <c r="A91" s="33">
        <v>130202</v>
      </c>
      <c r="B91" s="311" t="s">
        <v>76</v>
      </c>
      <c r="C91" s="312"/>
      <c r="D91" s="71">
        <v>12000000</v>
      </c>
      <c r="E91" s="34">
        <v>0</v>
      </c>
      <c r="F91" s="34">
        <v>0</v>
      </c>
      <c r="G91" s="34">
        <f t="shared" si="10"/>
        <v>0</v>
      </c>
      <c r="H91" s="34">
        <f t="shared" si="11"/>
        <v>12000000</v>
      </c>
      <c r="I91" s="41">
        <f t="shared" si="12"/>
        <v>0</v>
      </c>
      <c r="K91" s="1"/>
      <c r="L91" s="1"/>
    </row>
    <row r="92" spans="1:12" ht="15">
      <c r="A92" s="33">
        <v>130202</v>
      </c>
      <c r="B92" s="311" t="s">
        <v>78</v>
      </c>
      <c r="C92" s="312"/>
      <c r="D92" s="71">
        <v>12000000</v>
      </c>
      <c r="E92" s="34">
        <v>0</v>
      </c>
      <c r="F92" s="34">
        <v>0</v>
      </c>
      <c r="G92" s="34">
        <f t="shared" si="10"/>
        <v>0</v>
      </c>
      <c r="H92" s="34">
        <f t="shared" si="11"/>
        <v>12000000</v>
      </c>
      <c r="I92" s="41">
        <f t="shared" si="12"/>
        <v>0</v>
      </c>
      <c r="K92" s="161"/>
      <c r="L92" s="1"/>
    </row>
    <row r="93" spans="1:12" ht="15">
      <c r="A93" s="33">
        <v>130202</v>
      </c>
      <c r="B93" s="311" t="s">
        <v>77</v>
      </c>
      <c r="C93" s="312"/>
      <c r="D93" s="71">
        <v>12000000</v>
      </c>
      <c r="E93" s="34">
        <v>0</v>
      </c>
      <c r="F93" s="34">
        <v>0</v>
      </c>
      <c r="G93" s="34">
        <f t="shared" si="10"/>
        <v>0</v>
      </c>
      <c r="H93" s="34">
        <f t="shared" si="11"/>
        <v>12000000</v>
      </c>
      <c r="I93" s="41">
        <f t="shared" si="12"/>
        <v>0</v>
      </c>
      <c r="K93" s="163"/>
      <c r="L93" s="1"/>
    </row>
    <row r="94" spans="1:12" ht="15">
      <c r="A94" s="33">
        <v>130202</v>
      </c>
      <c r="B94" s="311" t="s">
        <v>74</v>
      </c>
      <c r="C94" s="312"/>
      <c r="D94" s="71">
        <v>12000000</v>
      </c>
      <c r="E94" s="34">
        <v>0</v>
      </c>
      <c r="F94" s="34">
        <v>0</v>
      </c>
      <c r="G94" s="34">
        <f>E94+F94</f>
        <v>0</v>
      </c>
      <c r="H94" s="34">
        <f>D94-G94</f>
        <v>12000000</v>
      </c>
      <c r="I94" s="41">
        <f>G94/D94*100</f>
        <v>0</v>
      </c>
      <c r="K94" s="163"/>
      <c r="L94" s="1"/>
    </row>
    <row r="95" spans="1:12" ht="17.25" customHeight="1">
      <c r="A95" s="33"/>
      <c r="B95" s="339" t="s">
        <v>1087</v>
      </c>
      <c r="C95" s="340"/>
      <c r="D95" s="58">
        <v>0</v>
      </c>
      <c r="E95" s="34">
        <v>0</v>
      </c>
      <c r="F95" s="74">
        <f>265650000+13200000</f>
        <v>278850000</v>
      </c>
      <c r="G95" s="34">
        <f>E95+F95</f>
        <v>278850000</v>
      </c>
      <c r="H95" s="34">
        <v>0</v>
      </c>
      <c r="I95" s="158">
        <v>0</v>
      </c>
      <c r="K95" s="163"/>
      <c r="L95" s="1"/>
    </row>
    <row r="96" spans="1:12" ht="15.75" thickBot="1">
      <c r="A96" s="50"/>
      <c r="B96" s="328" t="s">
        <v>36</v>
      </c>
      <c r="C96" s="328"/>
      <c r="D96" s="49">
        <f>SUM(D73:D95)</f>
        <v>1394853800</v>
      </c>
      <c r="E96" s="49">
        <f>SUM(E73:E95)</f>
        <v>165900000</v>
      </c>
      <c r="F96" s="49">
        <f>SUM(F73:F95)</f>
        <v>278850000</v>
      </c>
      <c r="G96" s="44">
        <f t="shared" si="10"/>
        <v>444750000</v>
      </c>
      <c r="H96" s="44">
        <f t="shared" si="11"/>
        <v>950103800</v>
      </c>
      <c r="I96" s="45">
        <f t="shared" si="12"/>
        <v>31.885062076039798</v>
      </c>
      <c r="K96" s="161"/>
      <c r="L96" s="1"/>
    </row>
    <row r="97" spans="1:11" s="1" customFormat="1" ht="15.75" thickTop="1">
      <c r="A97" s="9"/>
      <c r="B97" s="70"/>
      <c r="C97" s="70"/>
      <c r="D97" s="67"/>
      <c r="E97" s="67"/>
      <c r="F97" s="26" t="s">
        <v>66</v>
      </c>
      <c r="G97" s="169"/>
      <c r="H97" s="67"/>
      <c r="I97" s="170"/>
      <c r="K97" s="161"/>
    </row>
    <row r="98" spans="1:12" ht="15">
      <c r="A98" s="2"/>
      <c r="B98" s="329" t="s">
        <v>37</v>
      </c>
      <c r="C98" s="329"/>
      <c r="D98" s="19"/>
      <c r="E98" s="19"/>
      <c r="F98" s="19"/>
      <c r="G98" s="19"/>
      <c r="H98" s="19"/>
      <c r="I98" s="171"/>
      <c r="K98" s="162"/>
      <c r="L98" s="1"/>
    </row>
    <row r="99" spans="1:12" ht="15">
      <c r="A99" s="33">
        <v>130101</v>
      </c>
      <c r="B99" s="314" t="s">
        <v>1072</v>
      </c>
      <c r="C99" s="314"/>
      <c r="D99" s="34">
        <v>1936396941.38</v>
      </c>
      <c r="E99" s="34">
        <v>0</v>
      </c>
      <c r="F99" s="34">
        <v>0</v>
      </c>
      <c r="G99" s="34">
        <f>E99+F99</f>
        <v>0</v>
      </c>
      <c r="H99" s="34">
        <f aca="true" t="shared" si="13" ref="H99:H108">D99-G99</f>
        <v>1936396941.38</v>
      </c>
      <c r="I99" s="158">
        <f aca="true" t="shared" si="14" ref="I99:I108">G99/D99*100</f>
        <v>0</v>
      </c>
      <c r="K99" s="1"/>
      <c r="L99" s="1"/>
    </row>
    <row r="100" spans="1:12" ht="15">
      <c r="A100" s="33">
        <v>130103</v>
      </c>
      <c r="B100" s="314" t="s">
        <v>38</v>
      </c>
      <c r="C100" s="314"/>
      <c r="D100" s="34">
        <v>32713000</v>
      </c>
      <c r="E100" s="34">
        <v>0</v>
      </c>
      <c r="F100" s="35">
        <v>0</v>
      </c>
      <c r="G100" s="34">
        <f aca="true" t="shared" si="15" ref="G100:G108">E100+F100</f>
        <v>0</v>
      </c>
      <c r="H100" s="34">
        <f t="shared" si="13"/>
        <v>32713000</v>
      </c>
      <c r="I100" s="158">
        <f t="shared" si="14"/>
        <v>0</v>
      </c>
      <c r="K100" s="162"/>
      <c r="L100" s="1"/>
    </row>
    <row r="101" spans="1:12" ht="15">
      <c r="A101" s="33">
        <v>130113</v>
      </c>
      <c r="B101" s="314" t="s">
        <v>39</v>
      </c>
      <c r="C101" s="314"/>
      <c r="D101" s="34">
        <v>906551095</v>
      </c>
      <c r="E101" s="34">
        <v>0</v>
      </c>
      <c r="F101" s="34">
        <v>0</v>
      </c>
      <c r="G101" s="34">
        <f t="shared" si="15"/>
        <v>0</v>
      </c>
      <c r="H101" s="34">
        <f t="shared" si="13"/>
        <v>906551095</v>
      </c>
      <c r="I101" s="158">
        <f t="shared" si="14"/>
        <v>0</v>
      </c>
      <c r="K101" s="163"/>
      <c r="L101" s="1"/>
    </row>
    <row r="102" spans="1:12" ht="15">
      <c r="A102" s="33">
        <v>130114</v>
      </c>
      <c r="B102" s="314" t="s">
        <v>40</v>
      </c>
      <c r="C102" s="314"/>
      <c r="D102" s="34">
        <v>215780500</v>
      </c>
      <c r="E102" s="34">
        <v>0</v>
      </c>
      <c r="F102" s="34">
        <v>0</v>
      </c>
      <c r="G102" s="34">
        <f t="shared" si="15"/>
        <v>0</v>
      </c>
      <c r="H102" s="34">
        <f t="shared" si="13"/>
        <v>215780500</v>
      </c>
      <c r="I102" s="158">
        <f t="shared" si="14"/>
        <v>0</v>
      </c>
      <c r="K102" s="163"/>
      <c r="L102" s="1"/>
    </row>
    <row r="103" spans="1:12" ht="15">
      <c r="A103" s="33">
        <v>130120</v>
      </c>
      <c r="B103" s="314" t="s">
        <v>1073</v>
      </c>
      <c r="C103" s="314"/>
      <c r="D103" s="34">
        <v>585700000</v>
      </c>
      <c r="E103" s="34">
        <v>0</v>
      </c>
      <c r="F103" s="37">
        <v>0</v>
      </c>
      <c r="G103" s="34">
        <f t="shared" si="15"/>
        <v>0</v>
      </c>
      <c r="H103" s="34">
        <f t="shared" si="13"/>
        <v>585700000</v>
      </c>
      <c r="I103" s="158">
        <f t="shared" si="14"/>
        <v>0</v>
      </c>
      <c r="K103" s="163"/>
      <c r="L103" s="1"/>
    </row>
    <row r="104" spans="1:12" ht="15">
      <c r="A104" s="33"/>
      <c r="B104" s="331" t="s">
        <v>80</v>
      </c>
      <c r="C104" s="331"/>
      <c r="D104" s="34">
        <v>16840000</v>
      </c>
      <c r="E104" s="34">
        <v>0</v>
      </c>
      <c r="F104" s="35">
        <v>0</v>
      </c>
      <c r="G104" s="34">
        <f t="shared" si="15"/>
        <v>0</v>
      </c>
      <c r="H104" s="34">
        <f t="shared" si="13"/>
        <v>16840000</v>
      </c>
      <c r="I104" s="158">
        <f t="shared" si="14"/>
        <v>0</v>
      </c>
      <c r="K104" s="163"/>
      <c r="L104" s="1"/>
    </row>
    <row r="105" spans="1:12" ht="15">
      <c r="A105" s="33">
        <v>130123</v>
      </c>
      <c r="B105" s="314" t="s">
        <v>41</v>
      </c>
      <c r="C105" s="314"/>
      <c r="D105" s="34">
        <v>348117000</v>
      </c>
      <c r="E105" s="34">
        <v>0</v>
      </c>
      <c r="F105" s="34">
        <v>0</v>
      </c>
      <c r="G105" s="34">
        <f>E105+F105</f>
        <v>0</v>
      </c>
      <c r="H105" s="34">
        <f>D105-G105</f>
        <v>348117000</v>
      </c>
      <c r="I105" s="41">
        <f>G105/D105*100</f>
        <v>0</v>
      </c>
      <c r="K105" s="1"/>
      <c r="L105" s="1"/>
    </row>
    <row r="106" spans="1:12" ht="17.25" customHeight="1">
      <c r="A106" s="33"/>
      <c r="B106" s="341" t="s">
        <v>1086</v>
      </c>
      <c r="C106" s="342"/>
      <c r="D106" s="58">
        <v>0</v>
      </c>
      <c r="E106" s="34">
        <v>0</v>
      </c>
      <c r="F106" s="74">
        <v>293492746.36</v>
      </c>
      <c r="G106" s="34">
        <f>E106+F106</f>
        <v>293492746.36</v>
      </c>
      <c r="H106" s="34">
        <v>0</v>
      </c>
      <c r="I106" s="158">
        <v>0</v>
      </c>
      <c r="K106" s="163"/>
      <c r="L106" s="1"/>
    </row>
    <row r="107" spans="1:9" ht="15">
      <c r="A107" s="27"/>
      <c r="B107" s="330" t="s">
        <v>42</v>
      </c>
      <c r="C107" s="330"/>
      <c r="D107" s="174">
        <f>SUM(D99:D105)</f>
        <v>4042098536.38</v>
      </c>
      <c r="E107" s="172">
        <f>SUM(E99:E105)</f>
        <v>0</v>
      </c>
      <c r="F107" s="172">
        <f>SUM(F99:F106)</f>
        <v>293492746.36</v>
      </c>
      <c r="G107" s="39">
        <f>E107+F107</f>
        <v>293492746.36</v>
      </c>
      <c r="H107" s="39">
        <f t="shared" si="13"/>
        <v>3748605790.02</v>
      </c>
      <c r="I107" s="156">
        <f t="shared" si="14"/>
        <v>7.2609003397241425</v>
      </c>
    </row>
    <row r="108" spans="1:9" ht="15.75" thickBot="1">
      <c r="A108" s="2"/>
      <c r="B108" s="328" t="s">
        <v>43</v>
      </c>
      <c r="C108" s="328"/>
      <c r="D108" s="173">
        <f>D59+D70+D96+D107</f>
        <v>22731740736.38</v>
      </c>
      <c r="E108" s="173">
        <f>E59+E70+E96+E107</f>
        <v>942202234.4100001</v>
      </c>
      <c r="F108" s="173">
        <f>F59+F70+F96+F107</f>
        <v>1251619810.23</v>
      </c>
      <c r="G108" s="44">
        <f t="shared" si="15"/>
        <v>2193822044.6400003</v>
      </c>
      <c r="H108" s="44">
        <f t="shared" si="13"/>
        <v>20537918691.74</v>
      </c>
      <c r="I108" s="157">
        <f t="shared" si="14"/>
        <v>9.65091969894323</v>
      </c>
    </row>
    <row r="109" spans="1:9" ht="15.75" thickTop="1">
      <c r="A109" s="2"/>
      <c r="B109" s="16"/>
      <c r="C109" s="16"/>
      <c r="D109" s="14"/>
      <c r="E109" s="14"/>
      <c r="F109" s="14"/>
      <c r="G109" s="14"/>
      <c r="H109" s="14"/>
      <c r="I109" s="15"/>
    </row>
    <row r="110" spans="1:9" ht="15">
      <c r="A110" s="2"/>
      <c r="B110" s="16"/>
      <c r="C110" s="16"/>
      <c r="D110" s="14"/>
      <c r="E110" s="14"/>
      <c r="F110" s="14"/>
      <c r="G110" s="14"/>
      <c r="H110" s="14"/>
      <c r="I110" s="15"/>
    </row>
    <row r="111" spans="1:9" ht="15">
      <c r="A111" s="2"/>
      <c r="B111" s="16"/>
      <c r="C111" s="16"/>
      <c r="D111" s="14"/>
      <c r="E111" s="14"/>
      <c r="F111" s="14"/>
      <c r="G111" s="14"/>
      <c r="H111" s="14"/>
      <c r="I111" s="15"/>
    </row>
    <row r="112" spans="1:9" ht="15">
      <c r="A112" s="2"/>
      <c r="B112" s="16"/>
      <c r="C112" s="16"/>
      <c r="D112" s="14"/>
      <c r="F112" s="14"/>
      <c r="G112" s="14"/>
      <c r="H112" s="14"/>
      <c r="I112" s="15"/>
    </row>
    <row r="113" spans="2:9" ht="15">
      <c r="B113" s="16"/>
      <c r="C113" s="16" t="s">
        <v>53</v>
      </c>
      <c r="E113" s="147"/>
      <c r="F113" s="14"/>
      <c r="G113" s="14"/>
      <c r="H113" s="14"/>
      <c r="I113" s="15"/>
    </row>
    <row r="114" spans="2:8" ht="15">
      <c r="B114" s="69"/>
      <c r="C114" s="69"/>
      <c r="E114" s="147"/>
      <c r="F114" s="11"/>
      <c r="G114" s="11"/>
      <c r="H114" s="11"/>
    </row>
    <row r="115" spans="2:8" ht="15">
      <c r="B115" s="69"/>
      <c r="C115" s="69"/>
      <c r="D115" s="11"/>
      <c r="E115" s="11"/>
      <c r="F115" s="11"/>
      <c r="G115" s="11"/>
      <c r="H115" s="11"/>
    </row>
    <row r="116" spans="2:8" ht="15">
      <c r="B116" s="69"/>
      <c r="C116" s="69"/>
      <c r="D116" s="11"/>
      <c r="E116" s="11"/>
      <c r="F116" s="11"/>
      <c r="G116" s="11"/>
      <c r="H116" s="11"/>
    </row>
    <row r="117" spans="2:8" ht="15">
      <c r="B117" s="69"/>
      <c r="C117" s="69"/>
      <c r="D117" s="11"/>
      <c r="E117" s="11"/>
      <c r="F117" s="11"/>
      <c r="G117" s="11"/>
      <c r="H117" s="11"/>
    </row>
    <row r="118" spans="2:8" ht="15">
      <c r="B118" s="69"/>
      <c r="C118" s="69"/>
      <c r="D118" s="11"/>
      <c r="E118" s="11"/>
      <c r="F118" s="11"/>
      <c r="G118" s="11"/>
      <c r="H118" s="11"/>
    </row>
    <row r="119" spans="2:8" ht="15">
      <c r="B119" s="69"/>
      <c r="C119" s="69"/>
      <c r="D119" s="11"/>
      <c r="E119" s="11"/>
      <c r="F119" s="11"/>
      <c r="G119" s="11"/>
      <c r="H119" s="11"/>
    </row>
    <row r="120" spans="2:8" ht="15">
      <c r="B120" s="69"/>
      <c r="C120" s="69"/>
      <c r="D120" s="11"/>
      <c r="E120" s="11"/>
      <c r="F120" s="11"/>
      <c r="G120" s="11"/>
      <c r="H120" s="11"/>
    </row>
    <row r="121" spans="2:8" ht="15">
      <c r="B121" s="69"/>
      <c r="C121" s="69"/>
      <c r="D121" s="11"/>
      <c r="E121" s="11"/>
      <c r="F121" s="11"/>
      <c r="G121" s="11"/>
      <c r="H121" s="11"/>
    </row>
    <row r="122" spans="2:8" ht="15">
      <c r="B122" s="69"/>
      <c r="C122" s="69"/>
      <c r="D122" s="11"/>
      <c r="E122" s="11"/>
      <c r="F122" s="11"/>
      <c r="G122" s="11"/>
      <c r="H122" s="11"/>
    </row>
    <row r="123" spans="2:8" ht="15">
      <c r="B123" s="69"/>
      <c r="C123" s="69"/>
      <c r="D123" s="11"/>
      <c r="E123" s="11"/>
      <c r="F123" s="11"/>
      <c r="G123" s="11"/>
      <c r="H123" s="11"/>
    </row>
    <row r="124" spans="2:8" ht="15">
      <c r="B124" s="69"/>
      <c r="C124" s="69"/>
      <c r="D124" s="11"/>
      <c r="E124" s="11"/>
      <c r="F124" s="11"/>
      <c r="G124" s="11"/>
      <c r="H124" s="11"/>
    </row>
    <row r="125" spans="2:8" ht="15">
      <c r="B125" s="69"/>
      <c r="C125" s="69"/>
      <c r="D125" s="11"/>
      <c r="E125" s="11"/>
      <c r="F125" s="11"/>
      <c r="G125" s="11"/>
      <c r="H125" s="11"/>
    </row>
    <row r="126" spans="2:8" ht="15">
      <c r="B126" s="69"/>
      <c r="C126" s="69"/>
      <c r="D126" s="11"/>
      <c r="E126" s="11"/>
      <c r="F126" s="11"/>
      <c r="G126" s="11"/>
      <c r="H126" s="11"/>
    </row>
    <row r="127" spans="2:8" ht="15">
      <c r="B127" s="69"/>
      <c r="C127" s="69"/>
      <c r="D127" s="11"/>
      <c r="E127" s="11"/>
      <c r="F127" s="11"/>
      <c r="G127" s="11"/>
      <c r="H127" s="11"/>
    </row>
    <row r="128" spans="2:8" ht="15">
      <c r="B128" s="69"/>
      <c r="C128" s="69"/>
      <c r="D128" s="11"/>
      <c r="E128" s="11"/>
      <c r="F128" s="11"/>
      <c r="G128" s="11"/>
      <c r="H128" s="11"/>
    </row>
    <row r="129" spans="2:8" ht="15">
      <c r="B129" s="69"/>
      <c r="C129" s="69"/>
      <c r="D129" s="11"/>
      <c r="E129" s="11"/>
      <c r="F129" s="11"/>
      <c r="G129" s="11"/>
      <c r="H129" s="11"/>
    </row>
    <row r="130" spans="2:8" ht="15">
      <c r="B130" s="69"/>
      <c r="C130" s="69"/>
      <c r="D130" s="11"/>
      <c r="E130" s="11"/>
      <c r="F130" s="11"/>
      <c r="G130" s="11"/>
      <c r="H130" s="11"/>
    </row>
    <row r="131" spans="2:8" ht="15">
      <c r="B131" s="69"/>
      <c r="C131" s="69"/>
      <c r="D131" s="11"/>
      <c r="E131" s="11"/>
      <c r="F131" s="11"/>
      <c r="G131" s="11"/>
      <c r="H131" s="11"/>
    </row>
    <row r="132" spans="2:8" ht="15">
      <c r="B132" s="69"/>
      <c r="C132" s="69"/>
      <c r="D132" s="11"/>
      <c r="E132" s="11"/>
      <c r="F132" s="11"/>
      <c r="G132" s="11"/>
      <c r="H132" s="11"/>
    </row>
    <row r="133" spans="2:8" ht="15">
      <c r="B133" s="69"/>
      <c r="C133" s="69"/>
      <c r="D133" s="11"/>
      <c r="E133" s="11"/>
      <c r="F133" s="11"/>
      <c r="G133" s="11"/>
      <c r="H133" s="11"/>
    </row>
    <row r="134" spans="2:8" ht="15">
      <c r="B134" s="69"/>
      <c r="C134" s="69"/>
      <c r="D134" s="11"/>
      <c r="E134" s="11"/>
      <c r="F134" s="11"/>
      <c r="G134" s="11"/>
      <c r="H134" s="11"/>
    </row>
    <row r="135" spans="2:8" ht="15">
      <c r="B135" s="69"/>
      <c r="C135" s="69"/>
      <c r="D135" s="11"/>
      <c r="E135" s="11"/>
      <c r="F135" s="11"/>
      <c r="G135" s="11"/>
      <c r="H135" s="11"/>
    </row>
    <row r="136" spans="2:8" ht="15">
      <c r="B136" s="69"/>
      <c r="C136" s="69"/>
      <c r="D136" s="11"/>
      <c r="E136" s="11"/>
      <c r="F136" s="11"/>
      <c r="G136" s="11"/>
      <c r="H136" s="11"/>
    </row>
    <row r="137" spans="2:8" ht="15">
      <c r="B137" s="69"/>
      <c r="C137" s="69"/>
      <c r="D137" s="11"/>
      <c r="E137" s="11"/>
      <c r="F137" s="11"/>
      <c r="G137" s="11"/>
      <c r="H137" s="11"/>
    </row>
    <row r="138" spans="2:8" ht="15">
      <c r="B138" s="69"/>
      <c r="C138" s="69"/>
      <c r="D138" s="11"/>
      <c r="E138" s="11"/>
      <c r="F138" s="11"/>
      <c r="G138" s="11"/>
      <c r="H138" s="11"/>
    </row>
    <row r="139" spans="2:8" ht="15">
      <c r="B139" s="69"/>
      <c r="C139" s="69"/>
      <c r="D139" s="11"/>
      <c r="E139" s="11"/>
      <c r="F139" s="11"/>
      <c r="G139" s="11"/>
      <c r="H139" s="11"/>
    </row>
    <row r="140" spans="2:8" ht="15">
      <c r="B140" s="69"/>
      <c r="C140" s="69"/>
      <c r="D140" s="11"/>
      <c r="E140" s="11"/>
      <c r="F140" s="11"/>
      <c r="G140" s="11"/>
      <c r="H140" s="11"/>
    </row>
    <row r="141" spans="2:8" ht="15">
      <c r="B141" s="69"/>
      <c r="C141" s="69"/>
      <c r="D141" s="11"/>
      <c r="E141" s="11"/>
      <c r="F141" s="11"/>
      <c r="G141" s="11"/>
      <c r="H141" s="11"/>
    </row>
    <row r="142" spans="2:8" ht="15">
      <c r="B142" s="69"/>
      <c r="C142" s="69"/>
      <c r="D142" s="11"/>
      <c r="E142" s="11"/>
      <c r="F142" s="11"/>
      <c r="G142" s="11"/>
      <c r="H142" s="11"/>
    </row>
    <row r="143" spans="2:8" ht="15">
      <c r="B143" s="69"/>
      <c r="C143" s="69"/>
      <c r="D143" s="11"/>
      <c r="E143" s="11"/>
      <c r="F143" s="11"/>
      <c r="G143" s="11"/>
      <c r="H143" s="11"/>
    </row>
    <row r="144" spans="2:8" ht="15">
      <c r="B144" s="69"/>
      <c r="C144" s="69"/>
      <c r="D144" s="11"/>
      <c r="E144" s="11"/>
      <c r="F144" s="11"/>
      <c r="G144" s="11"/>
      <c r="H144" s="11"/>
    </row>
    <row r="145" spans="2:8" ht="15">
      <c r="B145" s="69"/>
      <c r="C145" s="69"/>
      <c r="D145" s="11"/>
      <c r="E145" s="11"/>
      <c r="F145" s="11"/>
      <c r="G145" s="11"/>
      <c r="H145" s="11"/>
    </row>
    <row r="146" spans="2:8" ht="15">
      <c r="B146" s="69"/>
      <c r="C146" s="69"/>
      <c r="D146" s="12"/>
      <c r="E146" s="11"/>
      <c r="F146" s="11"/>
      <c r="G146" s="11"/>
      <c r="H146" s="11"/>
    </row>
    <row r="147" spans="2:8" ht="15">
      <c r="B147" s="69"/>
      <c r="C147" s="69"/>
      <c r="D147" s="12"/>
      <c r="E147" s="11"/>
      <c r="F147" s="11"/>
      <c r="G147" s="11"/>
      <c r="H147" s="11"/>
    </row>
    <row r="148" spans="2:8" ht="15">
      <c r="B148" s="69"/>
      <c r="C148" s="69"/>
      <c r="D148" s="12"/>
      <c r="E148" s="11"/>
      <c r="F148" s="11"/>
      <c r="G148" s="11"/>
      <c r="H148" s="11"/>
    </row>
    <row r="149" spans="2:8" ht="15">
      <c r="B149" s="69"/>
      <c r="C149" s="69"/>
      <c r="D149" s="12"/>
      <c r="E149" s="11"/>
      <c r="F149" s="11"/>
      <c r="G149" s="11"/>
      <c r="H149" s="11"/>
    </row>
    <row r="150" spans="2:8" ht="15">
      <c r="B150" s="69"/>
      <c r="C150" s="69"/>
      <c r="D150" s="12"/>
      <c r="E150" s="11"/>
      <c r="F150" s="11"/>
      <c r="G150" s="11"/>
      <c r="H150" s="11"/>
    </row>
    <row r="151" spans="2:8" ht="15">
      <c r="B151" s="69"/>
      <c r="C151" s="69"/>
      <c r="D151" s="12"/>
      <c r="E151" s="11"/>
      <c r="F151" s="11"/>
      <c r="G151" s="11"/>
      <c r="H151" s="11"/>
    </row>
    <row r="152" spans="2:8" ht="15">
      <c r="B152" s="69"/>
      <c r="C152" s="69"/>
      <c r="D152" s="12"/>
      <c r="E152" s="11"/>
      <c r="F152" s="11"/>
      <c r="G152" s="11"/>
      <c r="H152" s="11"/>
    </row>
    <row r="153" spans="2:8" ht="15">
      <c r="B153" s="69"/>
      <c r="C153" s="69"/>
      <c r="D153" s="12"/>
      <c r="E153" s="11"/>
      <c r="F153" s="11"/>
      <c r="G153" s="11"/>
      <c r="H153" s="11"/>
    </row>
    <row r="154" spans="2:8" ht="15">
      <c r="B154" s="69"/>
      <c r="C154" s="69"/>
      <c r="D154" s="12"/>
      <c r="E154" s="11"/>
      <c r="F154" s="11"/>
      <c r="G154" s="11"/>
      <c r="H154" s="11"/>
    </row>
    <row r="155" spans="2:8" ht="15">
      <c r="B155" s="69"/>
      <c r="C155" s="69"/>
      <c r="D155" s="12"/>
      <c r="E155" s="11"/>
      <c r="F155" s="11"/>
      <c r="G155" s="11"/>
      <c r="H155" s="11"/>
    </row>
    <row r="156" spans="2:8" ht="15">
      <c r="B156" s="69"/>
      <c r="C156" s="69"/>
      <c r="D156" s="12"/>
      <c r="E156" s="11"/>
      <c r="F156" s="11"/>
      <c r="G156" s="11"/>
      <c r="H156" s="11"/>
    </row>
    <row r="157" spans="2:8" ht="15">
      <c r="B157" s="69"/>
      <c r="C157" s="69"/>
      <c r="D157" s="12"/>
      <c r="E157" s="11"/>
      <c r="F157" s="11"/>
      <c r="G157" s="11"/>
      <c r="H157" s="11"/>
    </row>
    <row r="158" spans="2:8" ht="15">
      <c r="B158" s="69"/>
      <c r="C158" s="69"/>
      <c r="D158" s="12"/>
      <c r="E158" s="11"/>
      <c r="F158" s="11"/>
      <c r="G158" s="11"/>
      <c r="H158" s="11"/>
    </row>
    <row r="159" spans="2:8" ht="15">
      <c r="B159" s="69"/>
      <c r="C159" s="69"/>
      <c r="D159" s="12"/>
      <c r="E159" s="11"/>
      <c r="F159" s="11"/>
      <c r="G159" s="11"/>
      <c r="H159" s="11"/>
    </row>
    <row r="160" spans="2:8" ht="15">
      <c r="B160" s="69"/>
      <c r="C160" s="69"/>
      <c r="D160" s="12"/>
      <c r="E160" s="11"/>
      <c r="F160" s="11"/>
      <c r="G160" s="11"/>
      <c r="H160" s="11"/>
    </row>
    <row r="161" spans="2:8" ht="15">
      <c r="B161" s="69"/>
      <c r="C161" s="69"/>
      <c r="D161" s="12"/>
      <c r="E161" s="11"/>
      <c r="F161" s="11"/>
      <c r="G161" s="11"/>
      <c r="H161" s="11"/>
    </row>
    <row r="162" spans="2:8" ht="15">
      <c r="B162" s="69"/>
      <c r="C162" s="69"/>
      <c r="D162" s="12"/>
      <c r="E162" s="11"/>
      <c r="F162" s="11"/>
      <c r="G162" s="11"/>
      <c r="H162" s="11"/>
    </row>
    <row r="163" spans="2:8" ht="15">
      <c r="B163" s="69"/>
      <c r="C163" s="69"/>
      <c r="D163" s="12"/>
      <c r="E163" s="11"/>
      <c r="F163" s="11"/>
      <c r="G163" s="11"/>
      <c r="H163" s="11"/>
    </row>
    <row r="164" spans="2:8" ht="15">
      <c r="B164" s="69"/>
      <c r="C164" s="69"/>
      <c r="D164" s="12"/>
      <c r="E164" s="11"/>
      <c r="F164" s="11"/>
      <c r="G164" s="11"/>
      <c r="H164" s="11"/>
    </row>
  </sheetData>
  <sheetProtection/>
  <mergeCells count="102">
    <mergeCell ref="A1:I1"/>
    <mergeCell ref="A2:I2"/>
    <mergeCell ref="A3:A4"/>
    <mergeCell ref="B3:C4"/>
    <mergeCell ref="D3:D4"/>
    <mergeCell ref="E3:E4"/>
    <mergeCell ref="F3:F4"/>
    <mergeCell ref="G3:G4"/>
    <mergeCell ref="H3:H4"/>
    <mergeCell ref="I3:I4"/>
    <mergeCell ref="B5:C5"/>
    <mergeCell ref="B6:C6"/>
    <mergeCell ref="B8:C8"/>
    <mergeCell ref="B9:C9"/>
    <mergeCell ref="B10:C10"/>
    <mergeCell ref="B11:C11"/>
    <mergeCell ref="B7:C7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4:C24"/>
    <mergeCell ref="B25:C25"/>
    <mergeCell ref="B26:C26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9:C49"/>
    <mergeCell ref="D51:I51"/>
    <mergeCell ref="B52:C52"/>
    <mergeCell ref="B54:C54"/>
    <mergeCell ref="B55:C55"/>
    <mergeCell ref="B56:C56"/>
    <mergeCell ref="B58:C58"/>
    <mergeCell ref="B59:C59"/>
    <mergeCell ref="B60:C60"/>
    <mergeCell ref="A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89:C89"/>
    <mergeCell ref="B90:C90"/>
    <mergeCell ref="B91:C91"/>
    <mergeCell ref="B92:C92"/>
    <mergeCell ref="B93:C93"/>
    <mergeCell ref="B96:C96"/>
    <mergeCell ref="B108:C108"/>
    <mergeCell ref="B94:C94"/>
    <mergeCell ref="B104:C104"/>
    <mergeCell ref="B105:C105"/>
    <mergeCell ref="B95:C95"/>
    <mergeCell ref="B106:C106"/>
    <mergeCell ref="B107:C107"/>
    <mergeCell ref="B98:C98"/>
    <mergeCell ref="B99:C99"/>
    <mergeCell ref="B100:C100"/>
  </mergeCells>
  <printOptions/>
  <pageMargins left="0.7" right="0.7" top="0.75" bottom="0.75" header="0.3" footer="0.3"/>
  <pageSetup horizontalDpi="180" verticalDpi="180" orientation="landscape" scale="7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4"/>
  <sheetViews>
    <sheetView zoomScale="85" zoomScaleNormal="85" zoomScalePageLayoutView="0" workbookViewId="0" topLeftCell="A61">
      <selection activeCell="F88" sqref="F88"/>
    </sheetView>
  </sheetViews>
  <sheetFormatPr defaultColWidth="9.140625" defaultRowHeight="15"/>
  <cols>
    <col min="1" max="1" width="11.140625" style="0" customWidth="1"/>
    <col min="3" max="3" width="35.421875" style="0" customWidth="1"/>
    <col min="4" max="4" width="21.140625" style="0" customWidth="1"/>
    <col min="5" max="5" width="19.7109375" style="1" customWidth="1"/>
    <col min="6" max="6" width="19.8515625" style="0" customWidth="1"/>
    <col min="7" max="7" width="19.140625" style="0" customWidth="1"/>
    <col min="8" max="8" width="18.140625" style="0" customWidth="1"/>
    <col min="9" max="9" width="12.7109375" style="0" customWidth="1"/>
    <col min="11" max="11" width="19.421875" style="0" bestFit="1" customWidth="1"/>
  </cols>
  <sheetData>
    <row r="1" spans="1:12" ht="18">
      <c r="A1" s="320"/>
      <c r="B1" s="320"/>
      <c r="C1" s="320"/>
      <c r="D1" s="320"/>
      <c r="E1" s="320"/>
      <c r="F1" s="320"/>
      <c r="G1" s="320"/>
      <c r="H1" s="320"/>
      <c r="I1" s="320"/>
      <c r="K1" s="1"/>
      <c r="L1" s="1"/>
    </row>
    <row r="2" spans="1:12" ht="18">
      <c r="A2" s="320" t="s">
        <v>1089</v>
      </c>
      <c r="B2" s="320"/>
      <c r="C2" s="320"/>
      <c r="D2" s="320"/>
      <c r="E2" s="320"/>
      <c r="F2" s="320"/>
      <c r="G2" s="320"/>
      <c r="H2" s="320"/>
      <c r="I2" s="320"/>
      <c r="K2" s="1"/>
      <c r="L2" s="1"/>
    </row>
    <row r="3" spans="1:12" ht="15.75" customHeight="1">
      <c r="A3" s="321"/>
      <c r="B3" s="322" t="s">
        <v>0</v>
      </c>
      <c r="C3" s="322"/>
      <c r="D3" s="323" t="s">
        <v>1068</v>
      </c>
      <c r="E3" s="324" t="s">
        <v>1090</v>
      </c>
      <c r="F3" s="326" t="s">
        <v>1091</v>
      </c>
      <c r="G3" s="324" t="s">
        <v>1092</v>
      </c>
      <c r="H3" s="322" t="s">
        <v>2</v>
      </c>
      <c r="I3" s="322" t="s">
        <v>1</v>
      </c>
      <c r="K3" s="1"/>
      <c r="L3" s="1"/>
    </row>
    <row r="4" spans="1:12" ht="15.75" customHeight="1">
      <c r="A4" s="321"/>
      <c r="B4" s="322"/>
      <c r="C4" s="322"/>
      <c r="D4" s="323"/>
      <c r="E4" s="325"/>
      <c r="F4" s="326"/>
      <c r="G4" s="325"/>
      <c r="H4" s="322"/>
      <c r="I4" s="322"/>
      <c r="K4" s="1"/>
      <c r="L4" s="1"/>
    </row>
    <row r="5" spans="1:12" ht="19.5" customHeight="1">
      <c r="A5" s="2"/>
      <c r="B5" s="327" t="s">
        <v>4</v>
      </c>
      <c r="C5" s="327"/>
      <c r="D5" s="17"/>
      <c r="E5" s="17"/>
      <c r="F5" s="17"/>
      <c r="G5" s="17" t="s">
        <v>53</v>
      </c>
      <c r="H5" s="17"/>
      <c r="I5" s="9"/>
      <c r="K5" s="1"/>
      <c r="L5" s="1"/>
    </row>
    <row r="6" spans="1:12" ht="15">
      <c r="A6" s="46">
        <v>110851</v>
      </c>
      <c r="B6" s="314" t="s">
        <v>1097</v>
      </c>
      <c r="C6" s="314"/>
      <c r="D6" s="34">
        <v>1460000000</v>
      </c>
      <c r="E6" s="34">
        <v>0</v>
      </c>
      <c r="F6" s="66">
        <v>0</v>
      </c>
      <c r="G6" s="34">
        <f aca="true" t="shared" si="0" ref="G6:G14">E6+F6</f>
        <v>0</v>
      </c>
      <c r="H6" s="34">
        <f aca="true" t="shared" si="1" ref="H6:H16">D6-G6</f>
        <v>1460000000</v>
      </c>
      <c r="I6" s="41">
        <f aca="true" t="shared" si="2" ref="I6:I16">G6/D6*100</f>
        <v>0</v>
      </c>
      <c r="K6" s="161"/>
      <c r="L6" s="1"/>
    </row>
    <row r="7" spans="1:12" ht="15">
      <c r="A7" s="46">
        <v>110851</v>
      </c>
      <c r="B7" s="314" t="s">
        <v>1098</v>
      </c>
      <c r="C7" s="314"/>
      <c r="D7" s="34"/>
      <c r="E7" s="34">
        <v>79020093.95</v>
      </c>
      <c r="F7" s="66">
        <f>1200000+1701871.62+2672805.05+2674822.22+14207428+650398147.26+134000</f>
        <v>672989074.15</v>
      </c>
      <c r="G7" s="34">
        <f>E7+F7</f>
        <v>752009168.1</v>
      </c>
      <c r="H7" s="34"/>
      <c r="I7" s="41"/>
      <c r="K7" s="161"/>
      <c r="L7" s="1"/>
    </row>
    <row r="8" spans="1:12" ht="15">
      <c r="A8" s="46">
        <v>140283</v>
      </c>
      <c r="B8" s="314" t="s">
        <v>7</v>
      </c>
      <c r="C8" s="314"/>
      <c r="D8" s="34">
        <v>20000000</v>
      </c>
      <c r="E8" s="34">
        <v>400000</v>
      </c>
      <c r="F8" s="66">
        <f>100000*7</f>
        <v>700000</v>
      </c>
      <c r="G8" s="34">
        <f t="shared" si="0"/>
        <v>1100000</v>
      </c>
      <c r="H8" s="34">
        <f t="shared" si="1"/>
        <v>18900000</v>
      </c>
      <c r="I8" s="41">
        <f t="shared" si="2"/>
        <v>5.5</v>
      </c>
      <c r="K8" s="1"/>
      <c r="L8" s="1"/>
    </row>
    <row r="9" spans="1:12" ht="15.75">
      <c r="A9" s="46">
        <v>140289</v>
      </c>
      <c r="B9" s="314" t="s">
        <v>58</v>
      </c>
      <c r="C9" s="314"/>
      <c r="D9" s="34">
        <v>3000000</v>
      </c>
      <c r="E9" s="34">
        <v>0</v>
      </c>
      <c r="F9" s="66">
        <v>0</v>
      </c>
      <c r="G9" s="34">
        <f t="shared" si="0"/>
        <v>0</v>
      </c>
      <c r="H9" s="34">
        <f t="shared" si="1"/>
        <v>3000000</v>
      </c>
      <c r="I9" s="41">
        <f t="shared" si="2"/>
        <v>0</v>
      </c>
      <c r="K9" s="160"/>
      <c r="L9" s="1"/>
    </row>
    <row r="10" spans="1:12" ht="15">
      <c r="A10" s="46">
        <v>140291</v>
      </c>
      <c r="B10" s="314" t="s">
        <v>8</v>
      </c>
      <c r="C10" s="314"/>
      <c r="D10" s="34">
        <v>20000000</v>
      </c>
      <c r="E10" s="34">
        <v>4625000</v>
      </c>
      <c r="F10" s="66">
        <v>0</v>
      </c>
      <c r="G10" s="34">
        <f t="shared" si="0"/>
        <v>4625000</v>
      </c>
      <c r="H10" s="34">
        <f t="shared" si="1"/>
        <v>15375000</v>
      </c>
      <c r="I10" s="41">
        <f t="shared" si="2"/>
        <v>23.125</v>
      </c>
      <c r="K10" s="161"/>
      <c r="L10" s="1"/>
    </row>
    <row r="11" spans="1:12" ht="15">
      <c r="A11" s="46">
        <v>140292</v>
      </c>
      <c r="B11" s="314" t="s">
        <v>9</v>
      </c>
      <c r="C11" s="314"/>
      <c r="D11" s="34">
        <v>2400000</v>
      </c>
      <c r="E11" s="34">
        <v>525000</v>
      </c>
      <c r="F11" s="66">
        <v>0</v>
      </c>
      <c r="G11" s="34">
        <f t="shared" si="0"/>
        <v>525000</v>
      </c>
      <c r="H11" s="34">
        <f t="shared" si="1"/>
        <v>1875000</v>
      </c>
      <c r="I11" s="41">
        <f t="shared" si="2"/>
        <v>21.875</v>
      </c>
      <c r="K11" s="1"/>
      <c r="L11" s="1"/>
    </row>
    <row r="12" spans="1:12" ht="15">
      <c r="A12" s="46">
        <v>140387</v>
      </c>
      <c r="B12" s="314" t="s">
        <v>14</v>
      </c>
      <c r="C12" s="314"/>
      <c r="D12" s="34">
        <v>2000000</v>
      </c>
      <c r="E12" s="34">
        <v>0</v>
      </c>
      <c r="F12" s="164">
        <v>0</v>
      </c>
      <c r="G12" s="34">
        <f t="shared" si="0"/>
        <v>0</v>
      </c>
      <c r="H12" s="34">
        <f t="shared" si="1"/>
        <v>2000000</v>
      </c>
      <c r="I12" s="41">
        <f t="shared" si="2"/>
        <v>0</v>
      </c>
      <c r="K12" s="1"/>
      <c r="L12" s="1"/>
    </row>
    <row r="13" spans="1:12" ht="15">
      <c r="A13" s="46">
        <v>140353</v>
      </c>
      <c r="B13" s="314" t="s">
        <v>57</v>
      </c>
      <c r="C13" s="314"/>
      <c r="D13" s="34">
        <v>256400000</v>
      </c>
      <c r="E13" s="34">
        <v>0</v>
      </c>
      <c r="F13" s="34">
        <v>0</v>
      </c>
      <c r="G13" s="34">
        <f t="shared" si="0"/>
        <v>0</v>
      </c>
      <c r="H13" s="34">
        <f t="shared" si="1"/>
        <v>256400000</v>
      </c>
      <c r="I13" s="41">
        <f t="shared" si="2"/>
        <v>0</v>
      </c>
      <c r="K13" s="1"/>
      <c r="L13" s="1"/>
    </row>
    <row r="14" spans="1:12" ht="15">
      <c r="A14" s="46">
        <v>140392</v>
      </c>
      <c r="B14" s="311" t="s">
        <v>67</v>
      </c>
      <c r="C14" s="312"/>
      <c r="D14" s="71">
        <v>1200000</v>
      </c>
      <c r="E14" s="34">
        <v>600000</v>
      </c>
      <c r="F14" s="34">
        <v>0</v>
      </c>
      <c r="G14" s="34">
        <f t="shared" si="0"/>
        <v>600000</v>
      </c>
      <c r="H14" s="34">
        <f t="shared" si="1"/>
        <v>600000</v>
      </c>
      <c r="I14" s="41">
        <f t="shared" si="2"/>
        <v>50</v>
      </c>
      <c r="K14" s="1"/>
      <c r="L14" s="1"/>
    </row>
    <row r="15" spans="1:12" ht="15">
      <c r="A15" s="46">
        <v>140505</v>
      </c>
      <c r="B15" s="314" t="s">
        <v>6</v>
      </c>
      <c r="C15" s="314"/>
      <c r="D15" s="34">
        <v>56000000</v>
      </c>
      <c r="E15" s="34">
        <v>2291000</v>
      </c>
      <c r="F15" s="66">
        <f>4500+90000+19500+45000</f>
        <v>159000</v>
      </c>
      <c r="G15" s="34">
        <f>E15+F15</f>
        <v>2450000</v>
      </c>
      <c r="H15" s="34">
        <f>D15-G15</f>
        <v>53550000</v>
      </c>
      <c r="I15" s="41">
        <f>G15/D15*100</f>
        <v>4.375</v>
      </c>
      <c r="K15" s="1"/>
      <c r="L15" s="1"/>
    </row>
    <row r="16" spans="1:12" ht="15.75" thickBot="1">
      <c r="A16" s="18"/>
      <c r="B16" s="313" t="s">
        <v>3</v>
      </c>
      <c r="C16" s="313"/>
      <c r="D16" s="49">
        <f>SUM(D6:D15)</f>
        <v>1821000000</v>
      </c>
      <c r="E16" s="49">
        <f>SUM(E6:E15)</f>
        <v>87461093.95</v>
      </c>
      <c r="F16" s="49">
        <f>SUM(F6:F15)</f>
        <v>673848074.15</v>
      </c>
      <c r="G16" s="44">
        <f>E16+F16</f>
        <v>761309168.1</v>
      </c>
      <c r="H16" s="44">
        <f t="shared" si="1"/>
        <v>1059690831.9</v>
      </c>
      <c r="I16" s="45">
        <f t="shared" si="2"/>
        <v>41.807203080724875</v>
      </c>
      <c r="K16" s="1"/>
      <c r="L16" s="1"/>
    </row>
    <row r="17" spans="1:12" ht="15.75" thickTop="1">
      <c r="A17" s="9"/>
      <c r="B17" s="10"/>
      <c r="C17" s="10"/>
      <c r="D17" s="19"/>
      <c r="E17" s="19"/>
      <c r="F17" s="19"/>
      <c r="G17" s="19"/>
      <c r="H17" s="19"/>
      <c r="I17" s="165"/>
      <c r="K17" s="1"/>
      <c r="L17" s="1"/>
    </row>
    <row r="18" spans="1:12" ht="15">
      <c r="A18" s="9"/>
      <c r="B18" s="327" t="s">
        <v>10</v>
      </c>
      <c r="C18" s="327"/>
      <c r="D18" s="19"/>
      <c r="E18" s="19"/>
      <c r="F18" s="19"/>
      <c r="G18" s="19"/>
      <c r="H18" s="19"/>
      <c r="I18" s="165"/>
      <c r="K18" s="1"/>
      <c r="L18" s="1"/>
    </row>
    <row r="19" spans="1:12" ht="15">
      <c r="A19" s="46">
        <v>140370</v>
      </c>
      <c r="B19" s="314" t="s">
        <v>12</v>
      </c>
      <c r="C19" s="314"/>
      <c r="D19" s="34">
        <v>9000000</v>
      </c>
      <c r="E19" s="34">
        <v>142000</v>
      </c>
      <c r="F19" s="66">
        <v>1042000</v>
      </c>
      <c r="G19" s="34">
        <f>E19+F19</f>
        <v>1184000</v>
      </c>
      <c r="H19" s="34">
        <f>D19-G19</f>
        <v>7816000</v>
      </c>
      <c r="I19" s="41">
        <f>G19/D19*100</f>
        <v>13.155555555555557</v>
      </c>
      <c r="K19" s="1"/>
      <c r="L19" s="1"/>
    </row>
    <row r="20" spans="1:12" ht="15">
      <c r="A20" s="46">
        <v>140371</v>
      </c>
      <c r="B20" s="314" t="s">
        <v>13</v>
      </c>
      <c r="C20" s="314"/>
      <c r="D20" s="34">
        <v>20000000</v>
      </c>
      <c r="E20" s="34">
        <v>4365000</v>
      </c>
      <c r="F20" s="164">
        <v>2100000</v>
      </c>
      <c r="G20" s="34">
        <f>E20+F20</f>
        <v>6465000</v>
      </c>
      <c r="H20" s="34">
        <f>D20-G20</f>
        <v>13535000</v>
      </c>
      <c r="I20" s="41">
        <f>G20/D20*100</f>
        <v>32.324999999999996</v>
      </c>
      <c r="K20" s="1"/>
      <c r="L20" s="1"/>
    </row>
    <row r="21" spans="1:12" ht="15">
      <c r="A21" s="46">
        <v>110852</v>
      </c>
      <c r="B21" s="314" t="s">
        <v>11</v>
      </c>
      <c r="C21" s="314"/>
      <c r="D21" s="34">
        <v>18000000</v>
      </c>
      <c r="E21" s="34">
        <v>0</v>
      </c>
      <c r="F21" s="34">
        <v>0</v>
      </c>
      <c r="G21" s="34">
        <f>E21+F21</f>
        <v>0</v>
      </c>
      <c r="H21" s="34">
        <f>D21-G21</f>
        <v>18000000</v>
      </c>
      <c r="I21" s="41">
        <f>G21/D21*100</f>
        <v>0</v>
      </c>
      <c r="K21" s="1"/>
      <c r="L21" s="1"/>
    </row>
    <row r="22" spans="1:12" ht="15.75" thickBot="1">
      <c r="A22" s="9"/>
      <c r="B22" s="313" t="s">
        <v>3</v>
      </c>
      <c r="C22" s="313"/>
      <c r="D22" s="49">
        <f>SUM(D19:D21)</f>
        <v>47000000</v>
      </c>
      <c r="E22" s="49">
        <f>SUM(E19:E21)</f>
        <v>4507000</v>
      </c>
      <c r="F22" s="44">
        <f>SUM(F19:F20)</f>
        <v>3142000</v>
      </c>
      <c r="G22" s="44">
        <f>E22+F22</f>
        <v>7649000</v>
      </c>
      <c r="H22" s="44">
        <f>D22-G22</f>
        <v>39351000</v>
      </c>
      <c r="I22" s="45">
        <f>G22/D22*100</f>
        <v>16.274468085106385</v>
      </c>
      <c r="K22" s="1"/>
      <c r="L22" s="1"/>
    </row>
    <row r="23" spans="1:12" ht="15.75" thickTop="1">
      <c r="A23" s="9"/>
      <c r="B23" s="70"/>
      <c r="C23" s="70"/>
      <c r="D23" s="67"/>
      <c r="E23" s="67"/>
      <c r="F23" s="26"/>
      <c r="G23" s="21"/>
      <c r="H23" s="21"/>
      <c r="I23" s="166"/>
      <c r="K23" s="1"/>
      <c r="L23" s="1"/>
    </row>
    <row r="24" spans="1:12" ht="15">
      <c r="A24" s="9"/>
      <c r="B24" s="327" t="s">
        <v>15</v>
      </c>
      <c r="C24" s="327"/>
      <c r="D24" s="19"/>
      <c r="E24" s="19"/>
      <c r="F24" s="19"/>
      <c r="G24" s="19"/>
      <c r="H24" s="19"/>
      <c r="I24" s="165"/>
      <c r="K24" s="1"/>
      <c r="L24" s="1"/>
    </row>
    <row r="25" spans="1:12" ht="15">
      <c r="A25" s="46">
        <v>110809</v>
      </c>
      <c r="B25" s="314" t="s">
        <v>16</v>
      </c>
      <c r="C25" s="314"/>
      <c r="D25" s="34">
        <v>3000000</v>
      </c>
      <c r="E25" s="34">
        <v>0</v>
      </c>
      <c r="F25" s="34">
        <v>0</v>
      </c>
      <c r="G25" s="34">
        <f aca="true" t="shared" si="3" ref="G25:G31">E25+F25</f>
        <v>0</v>
      </c>
      <c r="H25" s="34">
        <f aca="true" t="shared" si="4" ref="H25:H31">D25-G25</f>
        <v>3000000</v>
      </c>
      <c r="I25" s="41">
        <f aca="true" t="shared" si="5" ref="I25:I31">G25/D25*100</f>
        <v>0</v>
      </c>
      <c r="K25" s="1"/>
      <c r="L25" s="1"/>
    </row>
    <row r="26" spans="1:12" ht="15">
      <c r="A26" s="46">
        <v>110810</v>
      </c>
      <c r="B26" s="314" t="s">
        <v>17</v>
      </c>
      <c r="C26" s="314"/>
      <c r="D26" s="34">
        <v>25000000</v>
      </c>
      <c r="E26" s="34">
        <v>14650000</v>
      </c>
      <c r="F26" s="164">
        <v>0</v>
      </c>
      <c r="G26" s="34">
        <f t="shared" si="3"/>
        <v>14650000</v>
      </c>
      <c r="H26" s="34">
        <f t="shared" si="4"/>
        <v>10350000</v>
      </c>
      <c r="I26" s="41">
        <f t="shared" si="5"/>
        <v>58.599999999999994</v>
      </c>
      <c r="K26" s="1"/>
      <c r="L26" s="1"/>
    </row>
    <row r="27" spans="1:12" ht="15">
      <c r="A27" s="46">
        <v>110806</v>
      </c>
      <c r="B27" s="175" t="s">
        <v>46</v>
      </c>
      <c r="C27" s="175"/>
      <c r="D27" s="34">
        <v>35000000</v>
      </c>
      <c r="E27" s="34">
        <v>0</v>
      </c>
      <c r="F27" s="34">
        <v>0</v>
      </c>
      <c r="G27" s="34">
        <f t="shared" si="3"/>
        <v>0</v>
      </c>
      <c r="H27" s="34">
        <f t="shared" si="4"/>
        <v>35000000</v>
      </c>
      <c r="I27" s="41">
        <f t="shared" si="5"/>
        <v>0</v>
      </c>
      <c r="K27" s="1"/>
      <c r="L27" s="1"/>
    </row>
    <row r="28" spans="1:12" ht="15">
      <c r="A28" s="46">
        <v>110807</v>
      </c>
      <c r="B28" s="175" t="s">
        <v>47</v>
      </c>
      <c r="C28" s="175"/>
      <c r="D28" s="34">
        <v>3000000</v>
      </c>
      <c r="E28" s="34">
        <v>0</v>
      </c>
      <c r="F28" s="34">
        <v>0</v>
      </c>
      <c r="G28" s="34">
        <f t="shared" si="3"/>
        <v>0</v>
      </c>
      <c r="H28" s="34">
        <f t="shared" si="4"/>
        <v>3000000</v>
      </c>
      <c r="I28" s="41">
        <f t="shared" si="5"/>
        <v>0</v>
      </c>
      <c r="K28" s="1"/>
      <c r="L28" s="1"/>
    </row>
    <row r="29" spans="1:12" ht="15">
      <c r="A29" s="46"/>
      <c r="B29" s="311" t="s">
        <v>69</v>
      </c>
      <c r="C29" s="312"/>
      <c r="D29" s="71">
        <v>15000000</v>
      </c>
      <c r="E29" s="34">
        <v>625000</v>
      </c>
      <c r="F29" s="34">
        <v>0</v>
      </c>
      <c r="G29" s="34">
        <f t="shared" si="3"/>
        <v>625000</v>
      </c>
      <c r="H29" s="34">
        <f t="shared" si="4"/>
        <v>14375000</v>
      </c>
      <c r="I29" s="41">
        <f t="shared" si="5"/>
        <v>4.166666666666666</v>
      </c>
      <c r="K29" s="1"/>
      <c r="L29" s="1"/>
    </row>
    <row r="30" spans="1:12" ht="15">
      <c r="A30" s="46"/>
      <c r="B30" s="311" t="s">
        <v>70</v>
      </c>
      <c r="C30" s="312"/>
      <c r="D30" s="71">
        <v>2500000</v>
      </c>
      <c r="E30" s="34">
        <v>0</v>
      </c>
      <c r="F30" s="34">
        <v>0</v>
      </c>
      <c r="G30" s="34">
        <f t="shared" si="3"/>
        <v>0</v>
      </c>
      <c r="H30" s="34">
        <f t="shared" si="4"/>
        <v>2500000</v>
      </c>
      <c r="I30" s="41">
        <f t="shared" si="5"/>
        <v>0</v>
      </c>
      <c r="K30" s="1"/>
      <c r="L30" s="1"/>
    </row>
    <row r="31" spans="1:12" ht="15.75" thickBot="1">
      <c r="A31" s="9"/>
      <c r="B31" s="328" t="s">
        <v>3</v>
      </c>
      <c r="C31" s="328"/>
      <c r="D31" s="49">
        <f>SUM(D25:D30)</f>
        <v>83500000</v>
      </c>
      <c r="E31" s="49">
        <f>SUM(E25:E30)</f>
        <v>15275000</v>
      </c>
      <c r="F31" s="44">
        <f>SUM(F25:F30)</f>
        <v>0</v>
      </c>
      <c r="G31" s="44">
        <f t="shared" si="3"/>
        <v>15275000</v>
      </c>
      <c r="H31" s="44">
        <f t="shared" si="4"/>
        <v>68225000</v>
      </c>
      <c r="I31" s="45">
        <f t="shared" si="5"/>
        <v>18.293413173652695</v>
      </c>
      <c r="K31" s="1"/>
      <c r="L31" s="1"/>
    </row>
    <row r="32" spans="1:12" ht="15.75" thickTop="1">
      <c r="A32" s="9"/>
      <c r="B32" s="70"/>
      <c r="C32" s="70"/>
      <c r="D32" s="67"/>
      <c r="E32" s="67"/>
      <c r="F32" s="67"/>
      <c r="G32" s="19"/>
      <c r="H32" s="19"/>
      <c r="I32" s="165"/>
      <c r="K32" s="1"/>
      <c r="L32" s="1"/>
    </row>
    <row r="33" spans="1:12" ht="15">
      <c r="A33" s="9"/>
      <c r="B33" s="318" t="s">
        <v>18</v>
      </c>
      <c r="C33" s="318"/>
      <c r="D33" s="67"/>
      <c r="E33" s="67"/>
      <c r="F33" s="67"/>
      <c r="G33" s="19"/>
      <c r="H33" s="19"/>
      <c r="I33" s="165"/>
      <c r="K33" s="1"/>
      <c r="L33" s="1"/>
    </row>
    <row r="34" spans="1:12" ht="15">
      <c r="A34" s="46">
        <v>140348</v>
      </c>
      <c r="B34" s="314" t="s">
        <v>19</v>
      </c>
      <c r="C34" s="314"/>
      <c r="D34" s="34">
        <v>40000000</v>
      </c>
      <c r="E34" s="34">
        <v>500000</v>
      </c>
      <c r="F34" s="66">
        <v>1000000</v>
      </c>
      <c r="G34" s="34">
        <f>E34+F34</f>
        <v>1500000</v>
      </c>
      <c r="H34" s="34">
        <f>D34-G34</f>
        <v>38500000</v>
      </c>
      <c r="I34" s="41">
        <f>G34/D34*100</f>
        <v>3.75</v>
      </c>
      <c r="K34" s="1"/>
      <c r="L34" s="1"/>
    </row>
    <row r="35" spans="1:12" ht="15">
      <c r="A35" s="46">
        <v>140349</v>
      </c>
      <c r="B35" s="314" t="s">
        <v>20</v>
      </c>
      <c r="C35" s="314"/>
      <c r="D35" s="34">
        <v>4000000</v>
      </c>
      <c r="E35" s="34">
        <v>1470000</v>
      </c>
      <c r="F35" s="66">
        <v>0</v>
      </c>
      <c r="G35" s="34">
        <f>E35+F35</f>
        <v>1470000</v>
      </c>
      <c r="H35" s="34">
        <f>D35-G35</f>
        <v>2530000</v>
      </c>
      <c r="I35" s="41">
        <f>G35/D35*100</f>
        <v>36.75</v>
      </c>
      <c r="K35" s="1"/>
      <c r="L35" s="1"/>
    </row>
    <row r="36" spans="1:12" ht="15">
      <c r="A36" s="46"/>
      <c r="B36" s="311" t="s">
        <v>68</v>
      </c>
      <c r="C36" s="312"/>
      <c r="D36" s="71">
        <v>4000000</v>
      </c>
      <c r="E36" s="34">
        <v>20000</v>
      </c>
      <c r="F36" s="34">
        <v>0</v>
      </c>
      <c r="G36" s="34">
        <f>E36+F36</f>
        <v>20000</v>
      </c>
      <c r="H36" s="34">
        <f>D36-G36</f>
        <v>3980000</v>
      </c>
      <c r="I36" s="41">
        <f>G36/D36*100</f>
        <v>0.5</v>
      </c>
      <c r="K36" s="1"/>
      <c r="L36" s="1"/>
    </row>
    <row r="37" spans="1:12" ht="15.75" thickBot="1">
      <c r="A37" s="9"/>
      <c r="B37" s="328" t="s">
        <v>3</v>
      </c>
      <c r="C37" s="328"/>
      <c r="D37" s="49">
        <f>SUM(D34:D36)</f>
        <v>48000000</v>
      </c>
      <c r="E37" s="49">
        <f>SUM(E34:E36)</f>
        <v>1990000</v>
      </c>
      <c r="F37" s="44">
        <f>SUM(F34:F36)</f>
        <v>1000000</v>
      </c>
      <c r="G37" s="44">
        <f>E37+F37</f>
        <v>2990000</v>
      </c>
      <c r="H37" s="44">
        <f>D37-G37</f>
        <v>45010000</v>
      </c>
      <c r="I37" s="45">
        <f>G37/D37*100</f>
        <v>6.229166666666667</v>
      </c>
      <c r="K37" s="1"/>
      <c r="L37" s="1"/>
    </row>
    <row r="38" spans="1:12" ht="15.75" thickTop="1">
      <c r="A38" s="9"/>
      <c r="B38" s="315"/>
      <c r="C38" s="315"/>
      <c r="D38" s="19"/>
      <c r="E38" s="19"/>
      <c r="F38" s="19"/>
      <c r="G38" s="19"/>
      <c r="H38" s="19"/>
      <c r="I38" s="165"/>
      <c r="K38" s="1"/>
      <c r="L38" s="1"/>
    </row>
    <row r="39" spans="1:12" ht="15.75">
      <c r="A39" s="76"/>
      <c r="B39" s="318" t="s">
        <v>21</v>
      </c>
      <c r="C39" s="318"/>
      <c r="D39" s="19"/>
      <c r="E39" s="19"/>
      <c r="F39" s="19"/>
      <c r="G39" s="19"/>
      <c r="H39" s="19"/>
      <c r="I39" s="165"/>
      <c r="K39" s="1"/>
      <c r="L39" s="1"/>
    </row>
    <row r="40" spans="1:12" ht="15">
      <c r="A40" s="46">
        <v>110802</v>
      </c>
      <c r="B40" s="314" t="s">
        <v>22</v>
      </c>
      <c r="C40" s="314"/>
      <c r="D40" s="34">
        <v>4500000</v>
      </c>
      <c r="E40" s="34">
        <v>0</v>
      </c>
      <c r="F40" s="34">
        <v>0</v>
      </c>
      <c r="G40" s="34">
        <f>E40+F40</f>
        <v>0</v>
      </c>
      <c r="H40" s="34">
        <f>D40-G40</f>
        <v>4500000</v>
      </c>
      <c r="I40" s="41">
        <f>G40/D40*100</f>
        <v>0</v>
      </c>
      <c r="K40" s="1"/>
      <c r="L40" s="1"/>
    </row>
    <row r="41" spans="1:12" ht="15">
      <c r="A41" s="46">
        <v>140289</v>
      </c>
      <c r="B41" s="314" t="s">
        <v>23</v>
      </c>
      <c r="C41" s="314"/>
      <c r="D41" s="34">
        <v>5000000</v>
      </c>
      <c r="E41" s="34">
        <v>0</v>
      </c>
      <c r="F41" s="66">
        <v>0</v>
      </c>
      <c r="G41" s="34">
        <f>E41+F41</f>
        <v>0</v>
      </c>
      <c r="H41" s="34">
        <f>D41-G41</f>
        <v>5000000</v>
      </c>
      <c r="I41" s="41">
        <f>G41/D41*100</f>
        <v>0</v>
      </c>
      <c r="K41" s="1"/>
      <c r="L41" s="1"/>
    </row>
    <row r="42" spans="1:12" ht="15.75" thickBot="1">
      <c r="A42" s="9"/>
      <c r="B42" s="328" t="s">
        <v>3</v>
      </c>
      <c r="C42" s="328"/>
      <c r="D42" s="49">
        <f>SUM(D40:D41)</f>
        <v>9500000</v>
      </c>
      <c r="E42" s="49">
        <f>SUM(E40:E41)</f>
        <v>0</v>
      </c>
      <c r="F42" s="49">
        <f>SUM(F40:F41)</f>
        <v>0</v>
      </c>
      <c r="G42" s="44">
        <f>E42+F42</f>
        <v>0</v>
      </c>
      <c r="H42" s="44">
        <f>D42-G42</f>
        <v>9500000</v>
      </c>
      <c r="I42" s="45">
        <f>G42/D42*100</f>
        <v>0</v>
      </c>
      <c r="K42" s="1"/>
      <c r="L42" s="1"/>
    </row>
    <row r="43" spans="1:12" ht="15.75" thickTop="1">
      <c r="A43" s="9"/>
      <c r="B43" s="70"/>
      <c r="C43" s="70"/>
      <c r="D43" s="67"/>
      <c r="E43" s="67"/>
      <c r="F43" s="67"/>
      <c r="G43" s="19"/>
      <c r="H43" s="19"/>
      <c r="I43" s="165"/>
      <c r="K43" s="1"/>
      <c r="L43" s="1"/>
    </row>
    <row r="44" spans="1:12" ht="15">
      <c r="A44" s="9"/>
      <c r="B44" s="329" t="s">
        <v>24</v>
      </c>
      <c r="C44" s="329"/>
      <c r="D44" s="67"/>
      <c r="E44" s="67"/>
      <c r="F44" s="67"/>
      <c r="G44" s="19"/>
      <c r="H44" s="19"/>
      <c r="I44" s="165"/>
      <c r="K44" s="1"/>
      <c r="L44" s="1"/>
    </row>
    <row r="45" spans="1:12" ht="15">
      <c r="A45" s="46">
        <v>140376</v>
      </c>
      <c r="B45" s="314" t="s">
        <v>25</v>
      </c>
      <c r="C45" s="314"/>
      <c r="D45" s="34">
        <v>6000000</v>
      </c>
      <c r="E45" s="34">
        <v>1000000</v>
      </c>
      <c r="F45" s="66">
        <v>700000</v>
      </c>
      <c r="G45" s="34">
        <f>E45+F45</f>
        <v>1700000</v>
      </c>
      <c r="H45" s="34">
        <f>D45-G45</f>
        <v>4300000</v>
      </c>
      <c r="I45" s="41">
        <f>G45/D45*100</f>
        <v>28.333333333333332</v>
      </c>
      <c r="K45" s="1"/>
      <c r="L45" s="1"/>
    </row>
    <row r="46" spans="1:12" ht="15">
      <c r="A46" s="46">
        <v>140378</v>
      </c>
      <c r="B46" s="314" t="s">
        <v>26</v>
      </c>
      <c r="C46" s="314"/>
      <c r="D46" s="34">
        <v>500000</v>
      </c>
      <c r="E46" s="34">
        <v>2000</v>
      </c>
      <c r="F46" s="164">
        <v>0</v>
      </c>
      <c r="G46" s="34">
        <f>E46+F46</f>
        <v>2000</v>
      </c>
      <c r="H46" s="34">
        <f>D46-G46</f>
        <v>498000</v>
      </c>
      <c r="I46" s="41">
        <f>G46/D46*100</f>
        <v>0.4</v>
      </c>
      <c r="K46" s="1"/>
      <c r="L46" s="1"/>
    </row>
    <row r="47" spans="1:12" ht="15.75" thickBot="1">
      <c r="A47" s="9"/>
      <c r="B47" s="328" t="s">
        <v>3</v>
      </c>
      <c r="C47" s="328"/>
      <c r="D47" s="49">
        <f>SUM(D45:D46)</f>
        <v>6500000</v>
      </c>
      <c r="E47" s="49">
        <f>SUM(E45:E46)</f>
        <v>1002000</v>
      </c>
      <c r="F47" s="44">
        <f>SUM(F45:F46)</f>
        <v>700000</v>
      </c>
      <c r="G47" s="44">
        <f>E47+F47</f>
        <v>1702000</v>
      </c>
      <c r="H47" s="44">
        <f>D47-G47</f>
        <v>4798000</v>
      </c>
      <c r="I47" s="45">
        <f>G47/D47*100</f>
        <v>26.184615384615384</v>
      </c>
      <c r="K47" s="1"/>
      <c r="L47" s="1"/>
    </row>
    <row r="48" spans="1:12" ht="15.75" thickTop="1">
      <c r="A48" s="9"/>
      <c r="B48" s="68"/>
      <c r="C48" s="68"/>
      <c r="D48" s="67"/>
      <c r="E48" s="67"/>
      <c r="F48" s="26"/>
      <c r="G48" s="26"/>
      <c r="H48" s="26"/>
      <c r="I48" s="167"/>
      <c r="K48" s="1"/>
      <c r="L48" s="1"/>
    </row>
    <row r="49" spans="1:12" ht="20.25" customHeight="1">
      <c r="A49" s="9"/>
      <c r="B49" s="337" t="s">
        <v>54</v>
      </c>
      <c r="C49" s="337"/>
      <c r="D49" s="19"/>
      <c r="E49" s="19"/>
      <c r="F49" s="19"/>
      <c r="G49" s="19"/>
      <c r="H49" s="19"/>
      <c r="I49" s="165"/>
      <c r="K49" s="1"/>
      <c r="L49" s="1"/>
    </row>
    <row r="50" spans="1:12" ht="18.75" customHeight="1">
      <c r="A50" s="46"/>
      <c r="B50" s="175" t="s">
        <v>51</v>
      </c>
      <c r="C50" s="175"/>
      <c r="D50" s="34">
        <v>114860000</v>
      </c>
      <c r="E50" s="34">
        <v>0</v>
      </c>
      <c r="F50" s="34">
        <v>0</v>
      </c>
      <c r="G50" s="34">
        <f>E50+F50</f>
        <v>0</v>
      </c>
      <c r="H50" s="34">
        <f>D50-G50</f>
        <v>114860000</v>
      </c>
      <c r="I50" s="41">
        <f>G50/D50*100</f>
        <v>0</v>
      </c>
      <c r="K50" s="1"/>
      <c r="L50" s="1"/>
    </row>
    <row r="51" spans="1:12" ht="23.25" customHeight="1">
      <c r="A51" s="51"/>
      <c r="B51" s="154" t="s">
        <v>27</v>
      </c>
      <c r="C51" s="154"/>
      <c r="D51" s="310"/>
      <c r="E51" s="310"/>
      <c r="F51" s="310"/>
      <c r="G51" s="310"/>
      <c r="H51" s="310"/>
      <c r="I51" s="310"/>
      <c r="K51" s="1"/>
      <c r="L51" s="1"/>
    </row>
    <row r="52" spans="1:12" ht="15">
      <c r="A52" s="80">
        <v>140399</v>
      </c>
      <c r="B52" s="311" t="s">
        <v>48</v>
      </c>
      <c r="C52" s="312"/>
      <c r="D52" s="34">
        <v>86560000</v>
      </c>
      <c r="E52" s="34">
        <v>4890000</v>
      </c>
      <c r="F52" s="66">
        <f>290000+30000+170000+110000+500000+730000+220000</f>
        <v>2050000</v>
      </c>
      <c r="G52" s="34">
        <f aca="true" t="shared" si="6" ref="G52:G59">E52+F52</f>
        <v>6940000</v>
      </c>
      <c r="H52" s="34">
        <f aca="true" t="shared" si="7" ref="H52:H59">D52-G52</f>
        <v>79620000</v>
      </c>
      <c r="I52" s="41">
        <f>G52/D52*100</f>
        <v>8.017560073937153</v>
      </c>
      <c r="K52" s="1"/>
      <c r="L52" s="1"/>
    </row>
    <row r="53" spans="1:12" ht="15">
      <c r="A53" s="46"/>
      <c r="B53" s="175" t="s">
        <v>49</v>
      </c>
      <c r="C53" s="175"/>
      <c r="D53" s="34">
        <v>15700000</v>
      </c>
      <c r="E53" s="34">
        <v>0</v>
      </c>
      <c r="F53" s="66">
        <v>0</v>
      </c>
      <c r="G53" s="34">
        <f t="shared" si="6"/>
        <v>0</v>
      </c>
      <c r="H53" s="34">
        <f t="shared" si="7"/>
        <v>15700000</v>
      </c>
      <c r="I53" s="41">
        <f>G53/D53*100</f>
        <v>0</v>
      </c>
      <c r="K53" s="1"/>
      <c r="L53" s="1"/>
    </row>
    <row r="54" spans="1:12" ht="15">
      <c r="A54" s="46"/>
      <c r="B54" s="311" t="s">
        <v>50</v>
      </c>
      <c r="C54" s="312"/>
      <c r="D54" s="34">
        <v>13500000</v>
      </c>
      <c r="E54" s="34">
        <v>0</v>
      </c>
      <c r="F54" s="34">
        <v>0</v>
      </c>
      <c r="G54" s="34">
        <f t="shared" si="6"/>
        <v>0</v>
      </c>
      <c r="H54" s="34">
        <f t="shared" si="7"/>
        <v>13500000</v>
      </c>
      <c r="I54" s="41">
        <f>G54/D54*100</f>
        <v>0</v>
      </c>
      <c r="K54" s="1"/>
      <c r="L54" s="1"/>
    </row>
    <row r="55" spans="1:12" ht="15.75" thickBot="1">
      <c r="A55" s="51"/>
      <c r="B55" s="313" t="s">
        <v>3</v>
      </c>
      <c r="C55" s="313"/>
      <c r="D55" s="49">
        <f>SUM(D52:D54)</f>
        <v>115760000</v>
      </c>
      <c r="E55" s="49">
        <f>SUM(E52:E54)</f>
        <v>4890000</v>
      </c>
      <c r="F55" s="44">
        <f>SUM(F50:F54)</f>
        <v>2050000</v>
      </c>
      <c r="G55" s="44">
        <f t="shared" si="6"/>
        <v>6940000</v>
      </c>
      <c r="H55" s="44">
        <f t="shared" si="7"/>
        <v>108820000</v>
      </c>
      <c r="I55" s="45">
        <f>G55/D55*100</f>
        <v>5.9951624049758125</v>
      </c>
      <c r="K55" s="1"/>
      <c r="L55" s="1"/>
    </row>
    <row r="56" spans="1:12" ht="15.75" thickTop="1">
      <c r="A56" s="9"/>
      <c r="B56" s="315"/>
      <c r="C56" s="315"/>
      <c r="D56" s="19"/>
      <c r="E56" s="19"/>
      <c r="F56" s="19"/>
      <c r="G56" s="26"/>
      <c r="H56" s="26"/>
      <c r="I56" s="165"/>
      <c r="K56" s="1"/>
      <c r="L56" s="1"/>
    </row>
    <row r="57" spans="1:12" ht="15">
      <c r="A57" s="9"/>
      <c r="B57" s="149" t="s">
        <v>28</v>
      </c>
      <c r="C57" s="149"/>
      <c r="D57" s="19"/>
      <c r="E57" s="19"/>
      <c r="F57" s="19"/>
      <c r="G57" s="26"/>
      <c r="H57" s="26"/>
      <c r="I57" s="165"/>
      <c r="K57" s="1"/>
      <c r="L57" s="1"/>
    </row>
    <row r="58" spans="1:12" ht="15">
      <c r="A58" s="46">
        <v>140384</v>
      </c>
      <c r="B58" s="314" t="s">
        <v>29</v>
      </c>
      <c r="C58" s="314"/>
      <c r="D58" s="34">
        <v>3000000</v>
      </c>
      <c r="E58" s="34">
        <v>0</v>
      </c>
      <c r="F58" s="56">
        <v>0</v>
      </c>
      <c r="G58" s="181">
        <f t="shared" si="6"/>
        <v>0</v>
      </c>
      <c r="H58" s="39">
        <f t="shared" si="7"/>
        <v>3000000</v>
      </c>
      <c r="I58" s="182">
        <f>G58/D58*100</f>
        <v>0</v>
      </c>
      <c r="K58" s="1"/>
      <c r="L58" s="1"/>
    </row>
    <row r="59" spans="1:12" ht="15.75" thickBot="1">
      <c r="A59" s="2"/>
      <c r="B59" s="316" t="s">
        <v>30</v>
      </c>
      <c r="C59" s="316"/>
      <c r="D59" s="49">
        <f>D16+D22+D31+D37+D42+D47+D58+D50+D55</f>
        <v>2249120000</v>
      </c>
      <c r="E59" s="49">
        <f>E16+E22+E31+E37+E42+E47+E58+E50+E55</f>
        <v>115125093.95</v>
      </c>
      <c r="F59" s="49">
        <f>F16+F22+F31+F37+F42+F47+F58+F50+F55</f>
        <v>680740074.15</v>
      </c>
      <c r="G59" s="44">
        <f t="shared" si="6"/>
        <v>795865168.1</v>
      </c>
      <c r="H59" s="44">
        <f t="shared" si="7"/>
        <v>1453254831.9</v>
      </c>
      <c r="I59" s="45">
        <f aca="true" t="shared" si="8" ref="I59:I70">G59/D59*100</f>
        <v>35.385624959984355</v>
      </c>
      <c r="K59" s="26"/>
      <c r="L59" s="1"/>
    </row>
    <row r="60" spans="1:12" ht="15.75" thickTop="1">
      <c r="A60" s="2"/>
      <c r="B60" s="315"/>
      <c r="C60" s="315"/>
      <c r="D60" s="19"/>
      <c r="E60" s="19"/>
      <c r="F60" s="19"/>
      <c r="G60" s="19"/>
      <c r="H60" s="19"/>
      <c r="I60" s="150"/>
      <c r="K60" s="163"/>
      <c r="L60" s="1"/>
    </row>
    <row r="61" spans="1:12" ht="15">
      <c r="A61" s="319" t="s">
        <v>79</v>
      </c>
      <c r="B61" s="319"/>
      <c r="C61" s="319"/>
      <c r="D61" s="168"/>
      <c r="E61" s="168"/>
      <c r="F61" s="168"/>
      <c r="G61" s="168"/>
      <c r="H61" s="168"/>
      <c r="I61" s="168"/>
      <c r="K61" s="163"/>
      <c r="L61" s="1"/>
    </row>
    <row r="62" spans="1:12" ht="15">
      <c r="A62" s="73">
        <v>210101</v>
      </c>
      <c r="B62" s="332" t="s">
        <v>1077</v>
      </c>
      <c r="C62" s="332"/>
      <c r="D62" s="34">
        <v>1827993600</v>
      </c>
      <c r="E62" s="34">
        <v>93787316.63</v>
      </c>
      <c r="F62" s="34">
        <f>198857.29+36500624.01+10477654.32</f>
        <v>47177135.62</v>
      </c>
      <c r="G62" s="34">
        <f>E62+F62</f>
        <v>140964452.25</v>
      </c>
      <c r="H62" s="34">
        <f>D62-G62</f>
        <v>1687029147.75</v>
      </c>
      <c r="I62" s="41">
        <f t="shared" si="8"/>
        <v>7.711430294394904</v>
      </c>
      <c r="K62" s="161"/>
      <c r="L62" s="1"/>
    </row>
    <row r="63" spans="1:12" ht="15">
      <c r="A63" s="73">
        <v>210101</v>
      </c>
      <c r="B63" s="332" t="s">
        <v>33</v>
      </c>
      <c r="C63" s="332"/>
      <c r="D63" s="34">
        <v>274512000</v>
      </c>
      <c r="E63" s="34">
        <v>15269544.68</v>
      </c>
      <c r="F63" s="34">
        <v>7203172.72</v>
      </c>
      <c r="G63" s="34">
        <f aca="true" t="shared" si="9" ref="G63:G69">E63+F63</f>
        <v>22472717.4</v>
      </c>
      <c r="H63" s="34">
        <f aca="true" t="shared" si="10" ref="H63:H70">D63-G63</f>
        <v>252039282.6</v>
      </c>
      <c r="I63" s="41">
        <f t="shared" si="8"/>
        <v>8.18642441860465</v>
      </c>
      <c r="K63" s="161"/>
      <c r="L63" s="1"/>
    </row>
    <row r="64" spans="1:12" ht="15">
      <c r="A64" s="73">
        <v>210101</v>
      </c>
      <c r="B64" s="333" t="s">
        <v>1078</v>
      </c>
      <c r="C64" s="334"/>
      <c r="D64" s="34">
        <v>535917600</v>
      </c>
      <c r="E64" s="34">
        <v>43545967.1</v>
      </c>
      <c r="F64" s="34">
        <v>21751058.53</v>
      </c>
      <c r="G64" s="34">
        <f t="shared" si="9"/>
        <v>65297025.63</v>
      </c>
      <c r="H64" s="34">
        <f t="shared" si="10"/>
        <v>470620574.37</v>
      </c>
      <c r="I64" s="41">
        <f t="shared" si="8"/>
        <v>12.184153987478673</v>
      </c>
      <c r="K64" s="1"/>
      <c r="L64" s="1"/>
    </row>
    <row r="65" spans="1:12" ht="15">
      <c r="A65" s="73">
        <v>210101</v>
      </c>
      <c r="B65" s="314" t="s">
        <v>52</v>
      </c>
      <c r="C65" s="314"/>
      <c r="D65" s="34">
        <v>7069695000</v>
      </c>
      <c r="E65" s="34">
        <v>687896521.33</v>
      </c>
      <c r="F65" s="34">
        <f>3779297.95+334436832.91</f>
        <v>338216130.86</v>
      </c>
      <c r="G65" s="34">
        <f t="shared" si="9"/>
        <v>1026112652.19</v>
      </c>
      <c r="H65" s="34">
        <f t="shared" si="10"/>
        <v>6043582347.809999</v>
      </c>
      <c r="I65" s="41">
        <f t="shared" si="8"/>
        <v>14.514242158820148</v>
      </c>
      <c r="K65" s="161"/>
      <c r="L65" s="1"/>
    </row>
    <row r="66" spans="1:12" ht="15">
      <c r="A66" s="73">
        <v>210101</v>
      </c>
      <c r="B66" s="314" t="s">
        <v>55</v>
      </c>
      <c r="C66" s="314"/>
      <c r="D66" s="34">
        <v>2759896200</v>
      </c>
      <c r="E66" s="34">
        <v>308020761.81</v>
      </c>
      <c r="F66" s="34">
        <v>152482640.93</v>
      </c>
      <c r="G66" s="34">
        <f t="shared" si="9"/>
        <v>460503402.74</v>
      </c>
      <c r="H66" s="34">
        <f t="shared" si="10"/>
        <v>2299392797.26</v>
      </c>
      <c r="I66" s="41">
        <f t="shared" si="8"/>
        <v>16.685533417524905</v>
      </c>
      <c r="K66" s="161"/>
      <c r="L66" s="1"/>
    </row>
    <row r="67" spans="1:12" ht="15">
      <c r="A67" s="73">
        <v>210101</v>
      </c>
      <c r="B67" s="314" t="s">
        <v>31</v>
      </c>
      <c r="C67" s="314"/>
      <c r="D67" s="34">
        <v>2400969600</v>
      </c>
      <c r="E67" s="34">
        <v>183720430.12</v>
      </c>
      <c r="F67" s="34">
        <f>14484100.14+275090.85+27689688.49+45430139.28+3087942.66</f>
        <v>90966961.41999999</v>
      </c>
      <c r="G67" s="34">
        <f t="shared" si="9"/>
        <v>274687391.53999996</v>
      </c>
      <c r="H67" s="34">
        <f t="shared" si="10"/>
        <v>2126282208.46</v>
      </c>
      <c r="I67" s="41">
        <f t="shared" si="8"/>
        <v>11.440685943712072</v>
      </c>
      <c r="K67" s="1"/>
      <c r="L67" s="1"/>
    </row>
    <row r="68" spans="1:12" ht="15">
      <c r="A68" s="73">
        <v>210101</v>
      </c>
      <c r="B68" s="314" t="s">
        <v>35</v>
      </c>
      <c r="C68" s="314"/>
      <c r="D68" s="34">
        <v>99128400</v>
      </c>
      <c r="E68" s="34">
        <v>3834633.66</v>
      </c>
      <c r="F68" s="34">
        <v>1733875.72</v>
      </c>
      <c r="G68" s="34">
        <f t="shared" si="9"/>
        <v>5568509.38</v>
      </c>
      <c r="H68" s="34">
        <f t="shared" si="10"/>
        <v>93559890.62</v>
      </c>
      <c r="I68" s="41">
        <f t="shared" si="8"/>
        <v>5.6174712594977825</v>
      </c>
      <c r="K68" s="161"/>
      <c r="L68" s="1"/>
    </row>
    <row r="69" spans="1:12" ht="15">
      <c r="A69" s="73">
        <v>210101</v>
      </c>
      <c r="B69" s="314" t="s">
        <v>32</v>
      </c>
      <c r="C69" s="314"/>
      <c r="D69" s="34">
        <v>77556000</v>
      </c>
      <c r="E69" s="34">
        <v>4379030</v>
      </c>
      <c r="F69" s="34">
        <v>2189515</v>
      </c>
      <c r="G69" s="34">
        <f t="shared" si="9"/>
        <v>6568545</v>
      </c>
      <c r="H69" s="34">
        <f t="shared" si="10"/>
        <v>70987455</v>
      </c>
      <c r="I69" s="41">
        <f t="shared" si="8"/>
        <v>8.469422095002322</v>
      </c>
      <c r="K69" s="1"/>
      <c r="L69" s="1"/>
    </row>
    <row r="70" spans="1:12" ht="15.75" thickBot="1">
      <c r="A70" s="148"/>
      <c r="B70" s="335" t="s">
        <v>1079</v>
      </c>
      <c r="C70" s="336"/>
      <c r="D70" s="44">
        <f>SUM(D62:D69)</f>
        <v>15045668400</v>
      </c>
      <c r="E70" s="44">
        <f>SUM(E62:E69)</f>
        <v>1340454205.3300002</v>
      </c>
      <c r="F70" s="44">
        <f>SUM(F62:F69)</f>
        <v>661720490.8000001</v>
      </c>
      <c r="G70" s="44">
        <f>SUM(G62:G69)</f>
        <v>2002174696.13</v>
      </c>
      <c r="H70" s="44">
        <f t="shared" si="10"/>
        <v>13043493703.869999</v>
      </c>
      <c r="I70" s="45">
        <f t="shared" si="8"/>
        <v>13.307316384362162</v>
      </c>
      <c r="K70" s="1"/>
      <c r="L70" s="1"/>
    </row>
    <row r="71" spans="1:12" ht="15.75" thickTop="1">
      <c r="A71" s="72"/>
      <c r="B71" s="153"/>
      <c r="C71" s="153"/>
      <c r="D71" s="26"/>
      <c r="E71" s="26"/>
      <c r="F71" s="26"/>
      <c r="G71" s="21"/>
      <c r="H71" s="21"/>
      <c r="I71" s="166"/>
      <c r="K71" s="1"/>
      <c r="L71" s="1"/>
    </row>
    <row r="72" spans="1:12" ht="15">
      <c r="A72" s="72"/>
      <c r="B72" s="318" t="s">
        <v>44</v>
      </c>
      <c r="C72" s="318"/>
      <c r="D72" s="26"/>
      <c r="E72" s="26"/>
      <c r="F72" s="26"/>
      <c r="G72" s="21"/>
      <c r="H72" s="21"/>
      <c r="I72" s="166"/>
      <c r="K72" s="1"/>
      <c r="L72" s="1"/>
    </row>
    <row r="73" spans="1:12" ht="15">
      <c r="A73" s="40">
        <v>130201</v>
      </c>
      <c r="B73" s="332" t="s">
        <v>1074</v>
      </c>
      <c r="C73" s="332"/>
      <c r="D73" s="34">
        <v>84419800</v>
      </c>
      <c r="E73" s="34">
        <v>58847000</v>
      </c>
      <c r="F73" s="34">
        <v>0</v>
      </c>
      <c r="G73" s="34">
        <f>E73+F73</f>
        <v>58847000</v>
      </c>
      <c r="H73" s="34">
        <f>D73-G73</f>
        <v>25572800</v>
      </c>
      <c r="I73" s="41">
        <f>G73/D73*100</f>
        <v>69.70758044913634</v>
      </c>
      <c r="K73" s="161"/>
      <c r="L73" s="1"/>
    </row>
    <row r="74" spans="1:12" ht="15">
      <c r="A74" s="33">
        <v>130202</v>
      </c>
      <c r="B74" s="314" t="s">
        <v>31</v>
      </c>
      <c r="C74" s="314"/>
      <c r="D74" s="34">
        <v>211311000</v>
      </c>
      <c r="E74" s="34">
        <v>22371000</v>
      </c>
      <c r="F74" s="34">
        <v>2240000</v>
      </c>
      <c r="G74" s="34">
        <f aca="true" t="shared" si="11" ref="G74:G96">E74+F74</f>
        <v>24611000</v>
      </c>
      <c r="H74" s="34">
        <f aca="true" t="shared" si="12" ref="H74:H96">D74-G74</f>
        <v>186700000</v>
      </c>
      <c r="I74" s="41">
        <f aca="true" t="shared" si="13" ref="I74:I96">G74/D74*100</f>
        <v>11.64681441098665</v>
      </c>
      <c r="K74" s="1"/>
      <c r="L74" s="1"/>
    </row>
    <row r="75" spans="1:12" ht="15">
      <c r="A75" s="33">
        <v>130202</v>
      </c>
      <c r="B75" s="314" t="s">
        <v>32</v>
      </c>
      <c r="C75" s="314"/>
      <c r="D75" s="34">
        <v>15659000</v>
      </c>
      <c r="E75" s="34">
        <v>652500</v>
      </c>
      <c r="F75" s="34">
        <v>0</v>
      </c>
      <c r="G75" s="34">
        <f t="shared" si="11"/>
        <v>652500</v>
      </c>
      <c r="H75" s="34">
        <f t="shared" si="12"/>
        <v>15006500</v>
      </c>
      <c r="I75" s="41">
        <f t="shared" si="13"/>
        <v>4.166932754326585</v>
      </c>
      <c r="K75" s="1"/>
      <c r="L75" s="1"/>
    </row>
    <row r="76" spans="1:12" ht="15">
      <c r="A76" s="33">
        <v>130202</v>
      </c>
      <c r="B76" s="314" t="s">
        <v>1075</v>
      </c>
      <c r="C76" s="314"/>
      <c r="D76" s="34">
        <v>25115000</v>
      </c>
      <c r="E76" s="34">
        <v>2093000</v>
      </c>
      <c r="F76" s="34">
        <v>0</v>
      </c>
      <c r="G76" s="34">
        <f t="shared" si="11"/>
        <v>2093000</v>
      </c>
      <c r="H76" s="34">
        <f t="shared" si="12"/>
        <v>23022000</v>
      </c>
      <c r="I76" s="41">
        <f t="shared" si="13"/>
        <v>8.33366514035437</v>
      </c>
      <c r="K76" s="1"/>
      <c r="L76" s="1"/>
    </row>
    <row r="77" spans="1:12" ht="15">
      <c r="A77" s="33">
        <v>130202</v>
      </c>
      <c r="B77" s="314" t="s">
        <v>1076</v>
      </c>
      <c r="C77" s="314"/>
      <c r="D77" s="34">
        <v>12000000</v>
      </c>
      <c r="E77" s="34">
        <v>0</v>
      </c>
      <c r="F77" s="34">
        <v>0</v>
      </c>
      <c r="G77" s="34">
        <f t="shared" si="11"/>
        <v>0</v>
      </c>
      <c r="H77" s="34">
        <f t="shared" si="12"/>
        <v>12000000</v>
      </c>
      <c r="I77" s="41">
        <v>0</v>
      </c>
      <c r="K77" s="1"/>
      <c r="L77" s="1"/>
    </row>
    <row r="78" spans="1:12" ht="15">
      <c r="A78" s="33">
        <v>130202</v>
      </c>
      <c r="B78" s="314" t="s">
        <v>52</v>
      </c>
      <c r="C78" s="314"/>
      <c r="D78" s="34">
        <v>257208000</v>
      </c>
      <c r="E78" s="34">
        <v>23640000</v>
      </c>
      <c r="F78" s="34">
        <f>113772000+11370000</f>
        <v>125142000</v>
      </c>
      <c r="G78" s="34">
        <f t="shared" si="11"/>
        <v>148782000</v>
      </c>
      <c r="H78" s="34">
        <f t="shared" si="12"/>
        <v>108426000</v>
      </c>
      <c r="I78" s="41">
        <f t="shared" si="13"/>
        <v>57.84501259680881</v>
      </c>
      <c r="K78" s="161"/>
      <c r="L78" s="1"/>
    </row>
    <row r="79" spans="1:12" ht="15">
      <c r="A79" s="33"/>
      <c r="B79" s="314" t="s">
        <v>34</v>
      </c>
      <c r="C79" s="314"/>
      <c r="D79" s="34">
        <v>212491000</v>
      </c>
      <c r="E79" s="34">
        <v>11120000</v>
      </c>
      <c r="F79" s="34">
        <v>0</v>
      </c>
      <c r="G79" s="34">
        <f t="shared" si="11"/>
        <v>11120000</v>
      </c>
      <c r="H79" s="34">
        <f t="shared" si="12"/>
        <v>201371000</v>
      </c>
      <c r="I79" s="41">
        <f t="shared" si="13"/>
        <v>5.233162816307514</v>
      </c>
      <c r="K79" s="161"/>
      <c r="L79" s="1"/>
    </row>
    <row r="80" spans="1:12" ht="15">
      <c r="A80" s="33"/>
      <c r="B80" s="314" t="s">
        <v>1080</v>
      </c>
      <c r="C80" s="314"/>
      <c r="D80" s="34">
        <v>106123000</v>
      </c>
      <c r="E80" s="34">
        <v>25524000</v>
      </c>
      <c r="F80" s="34">
        <v>0</v>
      </c>
      <c r="G80" s="34">
        <f t="shared" si="11"/>
        <v>25524000</v>
      </c>
      <c r="H80" s="34">
        <f t="shared" si="12"/>
        <v>80599000</v>
      </c>
      <c r="I80" s="41">
        <f t="shared" si="13"/>
        <v>24.051336656521208</v>
      </c>
      <c r="K80" s="161"/>
      <c r="L80" s="1"/>
    </row>
    <row r="81" spans="1:12" ht="15">
      <c r="A81" s="33"/>
      <c r="B81" s="314" t="s">
        <v>1083</v>
      </c>
      <c r="C81" s="314"/>
      <c r="D81" s="34">
        <v>89808000</v>
      </c>
      <c r="E81" s="34">
        <v>0</v>
      </c>
      <c r="F81" s="34">
        <v>0</v>
      </c>
      <c r="G81" s="34">
        <f t="shared" si="11"/>
        <v>0</v>
      </c>
      <c r="H81" s="34">
        <f t="shared" si="12"/>
        <v>89808000</v>
      </c>
      <c r="I81" s="41">
        <f t="shared" si="13"/>
        <v>0</v>
      </c>
      <c r="K81" s="161"/>
      <c r="L81" s="1"/>
    </row>
    <row r="82" spans="1:12" ht="15">
      <c r="A82" s="33">
        <v>130202</v>
      </c>
      <c r="B82" s="314" t="s">
        <v>55</v>
      </c>
      <c r="C82" s="314"/>
      <c r="D82" s="34">
        <v>117496000</v>
      </c>
      <c r="E82" s="34">
        <v>9638000</v>
      </c>
      <c r="F82" s="34">
        <v>0</v>
      </c>
      <c r="G82" s="34">
        <f t="shared" si="11"/>
        <v>9638000</v>
      </c>
      <c r="H82" s="34">
        <f t="shared" si="12"/>
        <v>107858000</v>
      </c>
      <c r="I82" s="41">
        <f t="shared" si="13"/>
        <v>8.202832436848913</v>
      </c>
      <c r="K82" s="161"/>
      <c r="L82" s="1"/>
    </row>
    <row r="83" spans="1:12" ht="15">
      <c r="A83" s="33"/>
      <c r="B83" s="314" t="s">
        <v>56</v>
      </c>
      <c r="C83" s="314"/>
      <c r="D83" s="34">
        <v>74888000</v>
      </c>
      <c r="E83" s="34">
        <v>6255000</v>
      </c>
      <c r="F83" s="34">
        <v>0</v>
      </c>
      <c r="G83" s="34">
        <f t="shared" si="11"/>
        <v>6255000</v>
      </c>
      <c r="H83" s="34">
        <f t="shared" si="12"/>
        <v>68633000</v>
      </c>
      <c r="I83" s="41">
        <f t="shared" si="13"/>
        <v>8.35247302638607</v>
      </c>
      <c r="K83" s="161"/>
      <c r="L83" s="1"/>
    </row>
    <row r="84" spans="1:12" ht="15">
      <c r="A84" s="33"/>
      <c r="B84" s="314" t="s">
        <v>1081</v>
      </c>
      <c r="C84" s="314"/>
      <c r="D84" s="34">
        <v>12350000</v>
      </c>
      <c r="E84" s="34">
        <v>3188000</v>
      </c>
      <c r="F84" s="34">
        <v>0</v>
      </c>
      <c r="G84" s="34">
        <f t="shared" si="11"/>
        <v>3188000</v>
      </c>
      <c r="H84" s="34">
        <f t="shared" si="12"/>
        <v>9162000</v>
      </c>
      <c r="I84" s="41">
        <f t="shared" si="13"/>
        <v>25.81376518218623</v>
      </c>
      <c r="K84" s="161"/>
      <c r="L84" s="1"/>
    </row>
    <row r="85" spans="1:12" ht="15">
      <c r="A85" s="33"/>
      <c r="B85" s="314" t="s">
        <v>1082</v>
      </c>
      <c r="C85" s="314"/>
      <c r="D85" s="34">
        <v>6264000</v>
      </c>
      <c r="E85" s="34">
        <v>0</v>
      </c>
      <c r="F85" s="34">
        <v>0</v>
      </c>
      <c r="G85" s="34">
        <f t="shared" si="11"/>
        <v>0</v>
      </c>
      <c r="H85" s="34">
        <f t="shared" si="12"/>
        <v>6264000</v>
      </c>
      <c r="I85" s="41">
        <f t="shared" si="13"/>
        <v>0</v>
      </c>
      <c r="K85" s="161"/>
      <c r="L85" s="1"/>
    </row>
    <row r="86" spans="1:12" ht="15">
      <c r="A86" s="33">
        <v>130202</v>
      </c>
      <c r="B86" s="314" t="s">
        <v>35</v>
      </c>
      <c r="C86" s="314"/>
      <c r="D86" s="34">
        <v>61721000</v>
      </c>
      <c r="E86" s="34">
        <v>2571500</v>
      </c>
      <c r="F86" s="34">
        <v>0</v>
      </c>
      <c r="G86" s="34">
        <f t="shared" si="11"/>
        <v>2571500</v>
      </c>
      <c r="H86" s="34">
        <f t="shared" si="12"/>
        <v>59149500</v>
      </c>
      <c r="I86" s="41">
        <f t="shared" si="13"/>
        <v>4.166329126229322</v>
      </c>
      <c r="K86" s="1"/>
      <c r="L86" s="1"/>
    </row>
    <row r="87" spans="1:12" ht="15">
      <c r="A87" s="33">
        <v>130202</v>
      </c>
      <c r="B87" s="311" t="s">
        <v>71</v>
      </c>
      <c r="C87" s="312"/>
      <c r="D87" s="71">
        <v>18000000</v>
      </c>
      <c r="E87" s="34">
        <v>0</v>
      </c>
      <c r="F87" s="34">
        <v>0</v>
      </c>
      <c r="G87" s="34">
        <f t="shared" si="11"/>
        <v>0</v>
      </c>
      <c r="H87" s="34">
        <f t="shared" si="12"/>
        <v>18000000</v>
      </c>
      <c r="I87" s="41">
        <f t="shared" si="13"/>
        <v>0</v>
      </c>
      <c r="K87" s="161"/>
      <c r="L87" s="1"/>
    </row>
    <row r="88" spans="1:12" ht="15">
      <c r="A88" s="33">
        <v>130202</v>
      </c>
      <c r="B88" s="311" t="s">
        <v>72</v>
      </c>
      <c r="C88" s="312"/>
      <c r="D88" s="71">
        <v>18000000</v>
      </c>
      <c r="E88" s="34">
        <v>0</v>
      </c>
      <c r="F88" s="34">
        <v>0</v>
      </c>
      <c r="G88" s="34">
        <f t="shared" si="11"/>
        <v>0</v>
      </c>
      <c r="H88" s="34">
        <f t="shared" si="12"/>
        <v>18000000</v>
      </c>
      <c r="I88" s="41">
        <f t="shared" si="13"/>
        <v>0</v>
      </c>
      <c r="K88" s="161"/>
      <c r="L88" s="1"/>
    </row>
    <row r="89" spans="1:12" ht="15">
      <c r="A89" s="33">
        <v>130202</v>
      </c>
      <c r="B89" s="311" t="s">
        <v>73</v>
      </c>
      <c r="C89" s="312"/>
      <c r="D89" s="71">
        <v>12000000</v>
      </c>
      <c r="E89" s="34">
        <v>0</v>
      </c>
      <c r="F89" s="34">
        <v>0</v>
      </c>
      <c r="G89" s="34">
        <f t="shared" si="11"/>
        <v>0</v>
      </c>
      <c r="H89" s="34">
        <f t="shared" si="12"/>
        <v>12000000</v>
      </c>
      <c r="I89" s="41">
        <f t="shared" si="13"/>
        <v>0</v>
      </c>
      <c r="K89" s="1"/>
      <c r="L89" s="1"/>
    </row>
    <row r="90" spans="1:12" ht="15">
      <c r="A90" s="33">
        <v>130202</v>
      </c>
      <c r="B90" s="311" t="s">
        <v>75</v>
      </c>
      <c r="C90" s="312"/>
      <c r="D90" s="71">
        <v>12000000</v>
      </c>
      <c r="E90" s="34">
        <v>0</v>
      </c>
      <c r="F90" s="34">
        <v>0</v>
      </c>
      <c r="G90" s="34">
        <f t="shared" si="11"/>
        <v>0</v>
      </c>
      <c r="H90" s="34">
        <f t="shared" si="12"/>
        <v>12000000</v>
      </c>
      <c r="I90" s="41">
        <f t="shared" si="13"/>
        <v>0</v>
      </c>
      <c r="K90" s="161"/>
      <c r="L90" s="1"/>
    </row>
    <row r="91" spans="1:12" ht="15">
      <c r="A91" s="33">
        <v>130202</v>
      </c>
      <c r="B91" s="311" t="s">
        <v>76</v>
      </c>
      <c r="C91" s="312"/>
      <c r="D91" s="71">
        <v>12000000</v>
      </c>
      <c r="E91" s="34">
        <v>0</v>
      </c>
      <c r="F91" s="34">
        <v>0</v>
      </c>
      <c r="G91" s="34">
        <f t="shared" si="11"/>
        <v>0</v>
      </c>
      <c r="H91" s="34">
        <f t="shared" si="12"/>
        <v>12000000</v>
      </c>
      <c r="I91" s="41">
        <f t="shared" si="13"/>
        <v>0</v>
      </c>
      <c r="K91" s="1"/>
      <c r="L91" s="1"/>
    </row>
    <row r="92" spans="1:12" ht="15">
      <c r="A92" s="33">
        <v>130202</v>
      </c>
      <c r="B92" s="311" t="s">
        <v>78</v>
      </c>
      <c r="C92" s="312"/>
      <c r="D92" s="71">
        <v>12000000</v>
      </c>
      <c r="E92" s="34">
        <v>0</v>
      </c>
      <c r="F92" s="34">
        <v>0</v>
      </c>
      <c r="G92" s="34">
        <f t="shared" si="11"/>
        <v>0</v>
      </c>
      <c r="H92" s="34">
        <f t="shared" si="12"/>
        <v>12000000</v>
      </c>
      <c r="I92" s="41">
        <f t="shared" si="13"/>
        <v>0</v>
      </c>
      <c r="K92" s="161"/>
      <c r="L92" s="1"/>
    </row>
    <row r="93" spans="1:12" ht="15">
      <c r="A93" s="33">
        <v>130202</v>
      </c>
      <c r="B93" s="311" t="s">
        <v>77</v>
      </c>
      <c r="C93" s="312"/>
      <c r="D93" s="71">
        <v>12000000</v>
      </c>
      <c r="E93" s="34">
        <v>0</v>
      </c>
      <c r="F93" s="34">
        <v>0</v>
      </c>
      <c r="G93" s="34">
        <f t="shared" si="11"/>
        <v>0</v>
      </c>
      <c r="H93" s="34">
        <f t="shared" si="12"/>
        <v>12000000</v>
      </c>
      <c r="I93" s="41">
        <f t="shared" si="13"/>
        <v>0</v>
      </c>
      <c r="K93" s="163"/>
      <c r="L93" s="1"/>
    </row>
    <row r="94" spans="1:12" ht="15">
      <c r="A94" s="33">
        <v>130202</v>
      </c>
      <c r="B94" s="311" t="s">
        <v>74</v>
      </c>
      <c r="C94" s="312"/>
      <c r="D94" s="71">
        <v>12000000</v>
      </c>
      <c r="E94" s="34">
        <v>0</v>
      </c>
      <c r="F94" s="34">
        <v>0</v>
      </c>
      <c r="G94" s="34">
        <f>E94+F94</f>
        <v>0</v>
      </c>
      <c r="H94" s="34">
        <f>D94-G94</f>
        <v>12000000</v>
      </c>
      <c r="I94" s="41">
        <f>G94/D94*100</f>
        <v>0</v>
      </c>
      <c r="K94" s="163"/>
      <c r="L94" s="1"/>
    </row>
    <row r="95" spans="1:12" ht="17.25" customHeight="1">
      <c r="A95" s="33"/>
      <c r="B95" s="339" t="s">
        <v>1087</v>
      </c>
      <c r="C95" s="340"/>
      <c r="D95" s="58">
        <v>0</v>
      </c>
      <c r="E95" s="34">
        <v>278850000</v>
      </c>
      <c r="F95" s="34">
        <v>0</v>
      </c>
      <c r="G95" s="34">
        <f>E95+F95</f>
        <v>278850000</v>
      </c>
      <c r="H95" s="34">
        <v>0</v>
      </c>
      <c r="I95" s="158">
        <v>0</v>
      </c>
      <c r="K95" s="163"/>
      <c r="L95" s="1"/>
    </row>
    <row r="96" spans="1:12" ht="15.75" thickBot="1">
      <c r="A96" s="50"/>
      <c r="B96" s="328" t="s">
        <v>36</v>
      </c>
      <c r="C96" s="328"/>
      <c r="D96" s="49">
        <f>SUM(D73:D94)</f>
        <v>1394853800</v>
      </c>
      <c r="E96" s="49">
        <f>SUM(E73:E95)</f>
        <v>444750000</v>
      </c>
      <c r="F96" s="49">
        <f>SUM(F73:F95)</f>
        <v>127382000</v>
      </c>
      <c r="G96" s="44">
        <f t="shared" si="11"/>
        <v>572132000</v>
      </c>
      <c r="H96" s="44">
        <f t="shared" si="12"/>
        <v>822721800</v>
      </c>
      <c r="I96" s="45">
        <f t="shared" si="13"/>
        <v>41.01734533038516</v>
      </c>
      <c r="K96" s="161"/>
      <c r="L96" s="1"/>
    </row>
    <row r="97" spans="1:11" s="1" customFormat="1" ht="15.75" thickTop="1">
      <c r="A97" s="9"/>
      <c r="B97" s="70"/>
      <c r="C97" s="70"/>
      <c r="D97" s="67"/>
      <c r="E97" s="67"/>
      <c r="F97" s="26" t="s">
        <v>66</v>
      </c>
      <c r="G97" s="169"/>
      <c r="H97" s="67"/>
      <c r="I97" s="170"/>
      <c r="K97" s="161"/>
    </row>
    <row r="98" spans="1:12" ht="15">
      <c r="A98" s="2"/>
      <c r="B98" s="329" t="s">
        <v>37</v>
      </c>
      <c r="C98" s="329"/>
      <c r="D98" s="19"/>
      <c r="E98" s="19"/>
      <c r="F98" s="19"/>
      <c r="G98" s="19"/>
      <c r="H98" s="19"/>
      <c r="I98" s="171"/>
      <c r="K98" s="163"/>
      <c r="L98" s="1"/>
    </row>
    <row r="99" spans="1:12" ht="15">
      <c r="A99" s="33">
        <v>130101</v>
      </c>
      <c r="B99" s="314" t="s">
        <v>1072</v>
      </c>
      <c r="C99" s="314"/>
      <c r="D99" s="34">
        <v>1936396941.38</v>
      </c>
      <c r="E99" s="34">
        <v>0</v>
      </c>
      <c r="F99" s="34">
        <v>0</v>
      </c>
      <c r="G99" s="34">
        <f>E99+F99</f>
        <v>0</v>
      </c>
      <c r="H99" s="34">
        <f aca="true" t="shared" si="14" ref="H99:H108">D99-G99</f>
        <v>1936396941.38</v>
      </c>
      <c r="I99" s="158">
        <f aca="true" t="shared" si="15" ref="I99:I108">G99/D99*100</f>
        <v>0</v>
      </c>
      <c r="K99" s="1"/>
      <c r="L99" s="1"/>
    </row>
    <row r="100" spans="1:12" ht="15">
      <c r="A100" s="33">
        <v>130103</v>
      </c>
      <c r="B100" s="314" t="s">
        <v>38</v>
      </c>
      <c r="C100" s="314"/>
      <c r="D100" s="34">
        <v>32713000</v>
      </c>
      <c r="E100" s="34">
        <v>0</v>
      </c>
      <c r="F100" s="35">
        <v>0</v>
      </c>
      <c r="G100" s="34">
        <f aca="true" t="shared" si="16" ref="G100:G108">E100+F100</f>
        <v>0</v>
      </c>
      <c r="H100" s="34">
        <f t="shared" si="14"/>
        <v>32713000</v>
      </c>
      <c r="I100" s="158">
        <f t="shared" si="15"/>
        <v>0</v>
      </c>
      <c r="K100" s="163"/>
      <c r="L100" s="1"/>
    </row>
    <row r="101" spans="1:12" ht="15">
      <c r="A101" s="33">
        <v>130113</v>
      </c>
      <c r="B101" s="314" t="s">
        <v>39</v>
      </c>
      <c r="C101" s="314"/>
      <c r="D101" s="34">
        <v>906551095</v>
      </c>
      <c r="E101" s="34">
        <v>0</v>
      </c>
      <c r="F101" s="34">
        <v>86455910.64</v>
      </c>
      <c r="G101" s="34">
        <f t="shared" si="16"/>
        <v>86455910.64</v>
      </c>
      <c r="H101" s="34">
        <f t="shared" si="14"/>
        <v>820095184.36</v>
      </c>
      <c r="I101" s="158">
        <f t="shared" si="15"/>
        <v>9.536794022624836</v>
      </c>
      <c r="K101" s="163"/>
      <c r="L101" s="1"/>
    </row>
    <row r="102" spans="1:12" ht="15">
      <c r="A102" s="33">
        <v>130114</v>
      </c>
      <c r="B102" s="314" t="s">
        <v>40</v>
      </c>
      <c r="C102" s="314"/>
      <c r="D102" s="34">
        <v>215780500</v>
      </c>
      <c r="E102" s="34">
        <v>0</v>
      </c>
      <c r="F102" s="34">
        <v>0</v>
      </c>
      <c r="G102" s="34">
        <f t="shared" si="16"/>
        <v>0</v>
      </c>
      <c r="H102" s="34">
        <f t="shared" si="14"/>
        <v>215780500</v>
      </c>
      <c r="I102" s="158">
        <f t="shared" si="15"/>
        <v>0</v>
      </c>
      <c r="K102" s="163"/>
      <c r="L102" s="1"/>
    </row>
    <row r="103" spans="1:12" ht="15">
      <c r="A103" s="33">
        <v>130120</v>
      </c>
      <c r="B103" s="314" t="s">
        <v>1073</v>
      </c>
      <c r="C103" s="314"/>
      <c r="D103" s="34">
        <v>585700000</v>
      </c>
      <c r="E103" s="34">
        <v>0</v>
      </c>
      <c r="F103" s="37">
        <v>0</v>
      </c>
      <c r="G103" s="34">
        <f t="shared" si="16"/>
        <v>0</v>
      </c>
      <c r="H103" s="34">
        <f t="shared" si="14"/>
        <v>585700000</v>
      </c>
      <c r="I103" s="158">
        <f t="shared" si="15"/>
        <v>0</v>
      </c>
      <c r="K103" s="163"/>
      <c r="L103" s="1"/>
    </row>
    <row r="104" spans="1:12" ht="15">
      <c r="A104" s="33"/>
      <c r="B104" s="331" t="s">
        <v>80</v>
      </c>
      <c r="C104" s="331"/>
      <c r="D104" s="34">
        <v>16840000</v>
      </c>
      <c r="E104" s="34">
        <v>0</v>
      </c>
      <c r="F104" s="35">
        <v>0</v>
      </c>
      <c r="G104" s="34">
        <f t="shared" si="16"/>
        <v>0</v>
      </c>
      <c r="H104" s="34">
        <f t="shared" si="14"/>
        <v>16840000</v>
      </c>
      <c r="I104" s="158">
        <f t="shared" si="15"/>
        <v>0</v>
      </c>
      <c r="K104" s="163"/>
      <c r="L104" s="1"/>
    </row>
    <row r="105" spans="1:12" ht="15">
      <c r="A105" s="33">
        <v>130123</v>
      </c>
      <c r="B105" s="314" t="s">
        <v>41</v>
      </c>
      <c r="C105" s="314"/>
      <c r="D105" s="34">
        <v>348117000</v>
      </c>
      <c r="E105" s="34">
        <v>0</v>
      </c>
      <c r="F105" s="34">
        <v>0</v>
      </c>
      <c r="G105" s="34">
        <f>E105+F105</f>
        <v>0</v>
      </c>
      <c r="H105" s="34">
        <f>D105-G105</f>
        <v>348117000</v>
      </c>
      <c r="I105" s="41">
        <f>G105/D105*100</f>
        <v>0</v>
      </c>
      <c r="K105" s="1"/>
      <c r="L105" s="1"/>
    </row>
    <row r="106" spans="1:12" ht="17.25" customHeight="1">
      <c r="A106" s="33"/>
      <c r="B106" s="341" t="s">
        <v>1086</v>
      </c>
      <c r="C106" s="342"/>
      <c r="D106" s="58">
        <v>0</v>
      </c>
      <c r="E106" s="34">
        <v>293492746.36</v>
      </c>
      <c r="F106" s="34">
        <v>278845962.04</v>
      </c>
      <c r="G106" s="34">
        <f>E106+F106</f>
        <v>572338708.4000001</v>
      </c>
      <c r="H106" s="34">
        <v>0</v>
      </c>
      <c r="I106" s="158">
        <v>0</v>
      </c>
      <c r="K106" s="163"/>
      <c r="L106" s="1"/>
    </row>
    <row r="107" spans="1:9" ht="15">
      <c r="A107" s="27"/>
      <c r="B107" s="330" t="s">
        <v>42</v>
      </c>
      <c r="C107" s="330"/>
      <c r="D107" s="174">
        <f>SUM(D99:D106)</f>
        <v>4042098536.38</v>
      </c>
      <c r="E107" s="172">
        <f>SUM(E99:E106)</f>
        <v>293492746.36</v>
      </c>
      <c r="F107" s="172">
        <f>SUM(F99:F106)</f>
        <v>365301872.68</v>
      </c>
      <c r="G107" s="39">
        <f>E107+F107</f>
        <v>658794619.04</v>
      </c>
      <c r="H107" s="39">
        <f t="shared" si="14"/>
        <v>3383303917.34</v>
      </c>
      <c r="I107" s="156">
        <f t="shared" si="15"/>
        <v>16.2983315005972</v>
      </c>
    </row>
    <row r="108" spans="1:9" ht="15.75" thickBot="1">
      <c r="A108" s="2"/>
      <c r="B108" s="328" t="s">
        <v>43</v>
      </c>
      <c r="C108" s="328"/>
      <c r="D108" s="173">
        <f>D59+D70+D96+D107</f>
        <v>22731740736.38</v>
      </c>
      <c r="E108" s="173">
        <f>E59+E70+E96+E107</f>
        <v>2193822045.6400003</v>
      </c>
      <c r="F108" s="173">
        <f>F59+F70+F96+F107</f>
        <v>1835144437.63</v>
      </c>
      <c r="G108" s="44">
        <f t="shared" si="16"/>
        <v>4028966483.2700005</v>
      </c>
      <c r="H108" s="44">
        <f t="shared" si="14"/>
        <v>18702774253.11</v>
      </c>
      <c r="I108" s="157">
        <f t="shared" si="15"/>
        <v>17.72396812894325</v>
      </c>
    </row>
    <row r="109" spans="1:9" ht="15.75" thickTop="1">
      <c r="A109" s="2"/>
      <c r="B109" s="16"/>
      <c r="C109" s="16"/>
      <c r="D109" s="14"/>
      <c r="E109" s="14"/>
      <c r="F109" s="14"/>
      <c r="G109" s="14"/>
      <c r="H109" s="14"/>
      <c r="I109" s="15"/>
    </row>
    <row r="110" spans="1:9" ht="15">
      <c r="A110" s="2"/>
      <c r="B110" s="16"/>
      <c r="C110" s="16"/>
      <c r="D110" s="14"/>
      <c r="E110" s="14"/>
      <c r="F110" s="14"/>
      <c r="G110" s="14"/>
      <c r="H110" s="14"/>
      <c r="I110" s="15"/>
    </row>
    <row r="111" spans="1:9" ht="15">
      <c r="A111" s="2"/>
      <c r="B111" s="16"/>
      <c r="C111" s="16"/>
      <c r="D111" s="14"/>
      <c r="E111" s="14"/>
      <c r="F111" s="14"/>
      <c r="G111" s="14"/>
      <c r="H111" s="14"/>
      <c r="I111" s="15"/>
    </row>
    <row r="112" spans="1:9" ht="15">
      <c r="A112" s="2"/>
      <c r="B112" s="16"/>
      <c r="C112" s="16"/>
      <c r="D112" s="14"/>
      <c r="F112" s="14"/>
      <c r="G112" s="14"/>
      <c r="H112" s="14"/>
      <c r="I112" s="15"/>
    </row>
    <row r="113" spans="2:9" ht="15">
      <c r="B113" s="16"/>
      <c r="C113" s="16" t="s">
        <v>53</v>
      </c>
      <c r="E113" s="147"/>
      <c r="F113" s="14"/>
      <c r="G113" s="14"/>
      <c r="H113" s="14"/>
      <c r="I113" s="15"/>
    </row>
    <row r="114" spans="2:8" ht="15">
      <c r="B114" s="69"/>
      <c r="C114" s="69"/>
      <c r="E114" s="147"/>
      <c r="F114" s="11"/>
      <c r="G114" s="11"/>
      <c r="H114" s="11"/>
    </row>
    <row r="115" spans="2:8" ht="15">
      <c r="B115" s="69"/>
      <c r="C115" s="69"/>
      <c r="D115" s="11"/>
      <c r="E115" s="11"/>
      <c r="F115" s="11"/>
      <c r="G115" s="11"/>
      <c r="H115" s="11"/>
    </row>
    <row r="116" spans="2:8" ht="15">
      <c r="B116" s="69"/>
      <c r="C116" s="69"/>
      <c r="D116" s="11"/>
      <c r="E116" s="11"/>
      <c r="F116" s="11"/>
      <c r="G116" s="11"/>
      <c r="H116" s="11"/>
    </row>
    <row r="117" spans="2:8" ht="15">
      <c r="B117" s="69"/>
      <c r="C117" s="69"/>
      <c r="D117" s="11"/>
      <c r="E117" s="11"/>
      <c r="F117" s="11"/>
      <c r="G117" s="11"/>
      <c r="H117" s="11"/>
    </row>
    <row r="118" spans="2:8" ht="15">
      <c r="B118" s="69"/>
      <c r="C118" s="69"/>
      <c r="D118" s="11"/>
      <c r="E118" s="11"/>
      <c r="F118" s="11"/>
      <c r="G118" s="11"/>
      <c r="H118" s="11"/>
    </row>
    <row r="119" spans="2:8" ht="15">
      <c r="B119" s="69"/>
      <c r="C119" s="69"/>
      <c r="D119" s="11"/>
      <c r="E119" s="11"/>
      <c r="F119" s="11"/>
      <c r="G119" s="11"/>
      <c r="H119" s="11"/>
    </row>
    <row r="120" spans="2:8" ht="15">
      <c r="B120" s="69"/>
      <c r="C120" s="69"/>
      <c r="D120" s="11"/>
      <c r="E120" s="11"/>
      <c r="F120" s="11"/>
      <c r="G120" s="11"/>
      <c r="H120" s="11"/>
    </row>
    <row r="121" spans="2:8" ht="15">
      <c r="B121" s="69"/>
      <c r="C121" s="69"/>
      <c r="D121" s="11"/>
      <c r="E121" s="11"/>
      <c r="F121" s="11"/>
      <c r="G121" s="11"/>
      <c r="H121" s="11"/>
    </row>
    <row r="122" spans="2:8" ht="15">
      <c r="B122" s="69"/>
      <c r="C122" s="69"/>
      <c r="D122" s="11"/>
      <c r="E122" s="11"/>
      <c r="F122" s="11"/>
      <c r="G122" s="11"/>
      <c r="H122" s="11"/>
    </row>
    <row r="123" spans="2:8" ht="15">
      <c r="B123" s="69"/>
      <c r="C123" s="69"/>
      <c r="D123" s="11"/>
      <c r="E123" s="11"/>
      <c r="F123" s="11"/>
      <c r="G123" s="11"/>
      <c r="H123" s="11"/>
    </row>
    <row r="124" spans="2:8" ht="15">
      <c r="B124" s="69"/>
      <c r="C124" s="69"/>
      <c r="D124" s="11"/>
      <c r="E124" s="11"/>
      <c r="F124" s="11"/>
      <c r="G124" s="11"/>
      <c r="H124" s="11"/>
    </row>
    <row r="125" spans="2:8" ht="15">
      <c r="B125" s="69"/>
      <c r="C125" s="69"/>
      <c r="D125" s="11"/>
      <c r="E125" s="11"/>
      <c r="F125" s="11"/>
      <c r="G125" s="11"/>
      <c r="H125" s="11"/>
    </row>
    <row r="126" spans="2:8" ht="15">
      <c r="B126" s="69"/>
      <c r="C126" s="69"/>
      <c r="D126" s="11"/>
      <c r="E126" s="11"/>
      <c r="F126" s="11"/>
      <c r="G126" s="11"/>
      <c r="H126" s="11"/>
    </row>
    <row r="127" spans="2:8" ht="15">
      <c r="B127" s="69"/>
      <c r="C127" s="69"/>
      <c r="D127" s="11"/>
      <c r="E127" s="11"/>
      <c r="F127" s="11"/>
      <c r="G127" s="11"/>
      <c r="H127" s="11"/>
    </row>
    <row r="128" spans="2:8" ht="15">
      <c r="B128" s="69"/>
      <c r="C128" s="69"/>
      <c r="D128" s="11"/>
      <c r="E128" s="11"/>
      <c r="F128" s="11"/>
      <c r="G128" s="11"/>
      <c r="H128" s="11"/>
    </row>
    <row r="129" spans="2:8" ht="15">
      <c r="B129" s="69"/>
      <c r="C129" s="69"/>
      <c r="D129" s="11"/>
      <c r="E129" s="11"/>
      <c r="F129" s="11"/>
      <c r="G129" s="11"/>
      <c r="H129" s="11"/>
    </row>
    <row r="130" spans="2:8" ht="15">
      <c r="B130" s="69"/>
      <c r="C130" s="69"/>
      <c r="D130" s="11"/>
      <c r="E130" s="11"/>
      <c r="F130" s="11"/>
      <c r="G130" s="11"/>
      <c r="H130" s="11"/>
    </row>
    <row r="131" spans="2:8" ht="15">
      <c r="B131" s="69"/>
      <c r="C131" s="69"/>
      <c r="D131" s="11"/>
      <c r="E131" s="11"/>
      <c r="F131" s="11"/>
      <c r="G131" s="11"/>
      <c r="H131" s="11"/>
    </row>
    <row r="132" spans="2:8" ht="15">
      <c r="B132" s="69"/>
      <c r="C132" s="69"/>
      <c r="D132" s="11"/>
      <c r="E132" s="11"/>
      <c r="F132" s="11"/>
      <c r="G132" s="11"/>
      <c r="H132" s="11"/>
    </row>
    <row r="133" spans="2:8" ht="15">
      <c r="B133" s="69"/>
      <c r="C133" s="69"/>
      <c r="D133" s="11"/>
      <c r="E133" s="11"/>
      <c r="F133" s="11"/>
      <c r="G133" s="11"/>
      <c r="H133" s="11"/>
    </row>
    <row r="134" spans="2:8" ht="15">
      <c r="B134" s="69"/>
      <c r="C134" s="69"/>
      <c r="D134" s="11"/>
      <c r="E134" s="11"/>
      <c r="F134" s="11"/>
      <c r="G134" s="11"/>
      <c r="H134" s="11"/>
    </row>
    <row r="135" spans="2:8" ht="15">
      <c r="B135" s="69"/>
      <c r="C135" s="69"/>
      <c r="D135" s="11"/>
      <c r="E135" s="11"/>
      <c r="F135" s="11"/>
      <c r="G135" s="11"/>
      <c r="H135" s="11"/>
    </row>
    <row r="136" spans="2:8" ht="15">
      <c r="B136" s="69"/>
      <c r="C136" s="69"/>
      <c r="D136" s="11"/>
      <c r="E136" s="11"/>
      <c r="F136" s="11"/>
      <c r="G136" s="11"/>
      <c r="H136" s="11"/>
    </row>
    <row r="137" spans="2:8" ht="15">
      <c r="B137" s="69"/>
      <c r="C137" s="69"/>
      <c r="D137" s="11"/>
      <c r="E137" s="11"/>
      <c r="F137" s="11"/>
      <c r="G137" s="11"/>
      <c r="H137" s="11"/>
    </row>
    <row r="138" spans="2:8" ht="15">
      <c r="B138" s="69"/>
      <c r="C138" s="69"/>
      <c r="D138" s="11"/>
      <c r="E138" s="11"/>
      <c r="F138" s="11"/>
      <c r="G138" s="11"/>
      <c r="H138" s="11"/>
    </row>
    <row r="139" spans="2:8" ht="15">
      <c r="B139" s="69"/>
      <c r="C139" s="69"/>
      <c r="D139" s="11"/>
      <c r="E139" s="11"/>
      <c r="F139" s="11"/>
      <c r="G139" s="11"/>
      <c r="H139" s="11"/>
    </row>
    <row r="140" spans="2:8" ht="15">
      <c r="B140" s="69"/>
      <c r="C140" s="69"/>
      <c r="D140" s="11"/>
      <c r="E140" s="11"/>
      <c r="F140" s="11"/>
      <c r="G140" s="11"/>
      <c r="H140" s="11"/>
    </row>
    <row r="141" spans="2:8" ht="15">
      <c r="B141" s="69"/>
      <c r="C141" s="69"/>
      <c r="D141" s="11"/>
      <c r="E141" s="11"/>
      <c r="F141" s="11"/>
      <c r="G141" s="11"/>
      <c r="H141" s="11"/>
    </row>
    <row r="142" spans="2:8" ht="15">
      <c r="B142" s="69"/>
      <c r="C142" s="69"/>
      <c r="D142" s="11"/>
      <c r="E142" s="11"/>
      <c r="F142" s="11"/>
      <c r="G142" s="11"/>
      <c r="H142" s="11"/>
    </row>
    <row r="143" spans="2:8" ht="15">
      <c r="B143" s="69"/>
      <c r="C143" s="69"/>
      <c r="D143" s="11"/>
      <c r="E143" s="11"/>
      <c r="F143" s="11"/>
      <c r="G143" s="11"/>
      <c r="H143" s="11"/>
    </row>
    <row r="144" spans="2:8" ht="15">
      <c r="B144" s="69"/>
      <c r="C144" s="69"/>
      <c r="D144" s="11"/>
      <c r="E144" s="11"/>
      <c r="F144" s="11"/>
      <c r="G144" s="11"/>
      <c r="H144" s="11"/>
    </row>
    <row r="145" spans="2:8" ht="15">
      <c r="B145" s="69"/>
      <c r="C145" s="69"/>
      <c r="D145" s="11"/>
      <c r="E145" s="11"/>
      <c r="F145" s="11"/>
      <c r="G145" s="11"/>
      <c r="H145" s="11"/>
    </row>
    <row r="146" spans="2:8" ht="15">
      <c r="B146" s="69"/>
      <c r="C146" s="69"/>
      <c r="D146" s="12"/>
      <c r="E146" s="11"/>
      <c r="F146" s="11"/>
      <c r="G146" s="11"/>
      <c r="H146" s="11"/>
    </row>
    <row r="147" spans="2:8" ht="15">
      <c r="B147" s="69"/>
      <c r="C147" s="69"/>
      <c r="D147" s="12"/>
      <c r="E147" s="11"/>
      <c r="F147" s="11"/>
      <c r="G147" s="11"/>
      <c r="H147" s="11"/>
    </row>
    <row r="148" spans="2:8" ht="15">
      <c r="B148" s="69"/>
      <c r="C148" s="69"/>
      <c r="D148" s="12"/>
      <c r="E148" s="11"/>
      <c r="F148" s="11"/>
      <c r="G148" s="11"/>
      <c r="H148" s="11"/>
    </row>
    <row r="149" spans="2:8" ht="15">
      <c r="B149" s="69"/>
      <c r="C149" s="69"/>
      <c r="D149" s="12"/>
      <c r="E149" s="11"/>
      <c r="F149" s="11"/>
      <c r="G149" s="11"/>
      <c r="H149" s="11"/>
    </row>
    <row r="150" spans="2:8" ht="15">
      <c r="B150" s="69"/>
      <c r="C150" s="69"/>
      <c r="D150" s="12"/>
      <c r="E150" s="11"/>
      <c r="F150" s="11"/>
      <c r="G150" s="11"/>
      <c r="H150" s="11"/>
    </row>
    <row r="151" spans="2:8" ht="15">
      <c r="B151" s="69"/>
      <c r="C151" s="69"/>
      <c r="D151" s="12"/>
      <c r="E151" s="11"/>
      <c r="F151" s="11"/>
      <c r="G151" s="11"/>
      <c r="H151" s="11"/>
    </row>
    <row r="152" spans="2:8" ht="15">
      <c r="B152" s="69"/>
      <c r="C152" s="69"/>
      <c r="D152" s="12"/>
      <c r="E152" s="11"/>
      <c r="F152" s="11"/>
      <c r="G152" s="11"/>
      <c r="H152" s="11"/>
    </row>
    <row r="153" spans="2:8" ht="15">
      <c r="B153" s="69"/>
      <c r="C153" s="69"/>
      <c r="D153" s="12"/>
      <c r="E153" s="11"/>
      <c r="F153" s="11"/>
      <c r="G153" s="11"/>
      <c r="H153" s="11"/>
    </row>
    <row r="154" spans="2:8" ht="15">
      <c r="B154" s="69"/>
      <c r="C154" s="69"/>
      <c r="D154" s="12"/>
      <c r="E154" s="11"/>
      <c r="F154" s="11"/>
      <c r="G154" s="11"/>
      <c r="H154" s="11"/>
    </row>
    <row r="155" spans="2:8" ht="15">
      <c r="B155" s="69"/>
      <c r="C155" s="69"/>
      <c r="D155" s="12"/>
      <c r="E155" s="11"/>
      <c r="F155" s="11"/>
      <c r="G155" s="11"/>
      <c r="H155" s="11"/>
    </row>
    <row r="156" spans="2:8" ht="15">
      <c r="B156" s="69"/>
      <c r="C156" s="69"/>
      <c r="D156" s="12"/>
      <c r="E156" s="11"/>
      <c r="F156" s="11"/>
      <c r="G156" s="11"/>
      <c r="H156" s="11"/>
    </row>
    <row r="157" spans="2:8" ht="15">
      <c r="B157" s="69"/>
      <c r="C157" s="69"/>
      <c r="D157" s="12"/>
      <c r="E157" s="11"/>
      <c r="F157" s="11"/>
      <c r="G157" s="11"/>
      <c r="H157" s="11"/>
    </row>
    <row r="158" spans="2:8" ht="15">
      <c r="B158" s="69"/>
      <c r="C158" s="69"/>
      <c r="D158" s="12"/>
      <c r="E158" s="11"/>
      <c r="F158" s="11"/>
      <c r="G158" s="11"/>
      <c r="H158" s="11"/>
    </row>
    <row r="159" spans="2:8" ht="15">
      <c r="B159" s="69"/>
      <c r="C159" s="69"/>
      <c r="D159" s="12"/>
      <c r="E159" s="11"/>
      <c r="F159" s="11"/>
      <c r="G159" s="11"/>
      <c r="H159" s="11"/>
    </row>
    <row r="160" spans="2:8" ht="15">
      <c r="B160" s="69"/>
      <c r="C160" s="69"/>
      <c r="D160" s="12"/>
      <c r="E160" s="11"/>
      <c r="F160" s="11"/>
      <c r="G160" s="11"/>
      <c r="H160" s="11"/>
    </row>
    <row r="161" spans="2:8" ht="15">
      <c r="B161" s="69"/>
      <c r="C161" s="69"/>
      <c r="D161" s="12"/>
      <c r="E161" s="11"/>
      <c r="F161" s="11"/>
      <c r="G161" s="11"/>
      <c r="H161" s="11"/>
    </row>
    <row r="162" spans="2:8" ht="15">
      <c r="B162" s="69"/>
      <c r="C162" s="69"/>
      <c r="D162" s="12"/>
      <c r="E162" s="11"/>
      <c r="F162" s="11"/>
      <c r="G162" s="11"/>
      <c r="H162" s="11"/>
    </row>
    <row r="163" spans="2:8" ht="15">
      <c r="B163" s="69"/>
      <c r="C163" s="69"/>
      <c r="D163" s="12"/>
      <c r="E163" s="11"/>
      <c r="F163" s="11"/>
      <c r="G163" s="11"/>
      <c r="H163" s="11"/>
    </row>
    <row r="164" spans="2:8" ht="15">
      <c r="B164" s="69"/>
      <c r="C164" s="69"/>
      <c r="D164" s="12"/>
      <c r="E164" s="11"/>
      <c r="F164" s="11"/>
      <c r="G164" s="11"/>
      <c r="H164" s="11"/>
    </row>
  </sheetData>
  <sheetProtection/>
  <mergeCells count="102">
    <mergeCell ref="B99:C99"/>
    <mergeCell ref="B100:C100"/>
    <mergeCell ref="B105:C105"/>
    <mergeCell ref="B107:C107"/>
    <mergeCell ref="B90:C90"/>
    <mergeCell ref="B91:C91"/>
    <mergeCell ref="B92:C92"/>
    <mergeCell ref="B93:C93"/>
    <mergeCell ref="B96:C96"/>
    <mergeCell ref="B98:C98"/>
    <mergeCell ref="B94:C94"/>
    <mergeCell ref="B95:C95"/>
    <mergeCell ref="B106:C106"/>
    <mergeCell ref="B83:C83"/>
    <mergeCell ref="B84:C84"/>
    <mergeCell ref="B85:C85"/>
    <mergeCell ref="B86:C86"/>
    <mergeCell ref="B87:C87"/>
    <mergeCell ref="B88:C88"/>
    <mergeCell ref="B89:C89"/>
    <mergeCell ref="B108:C108"/>
    <mergeCell ref="B101:C101"/>
    <mergeCell ref="B102:C102"/>
    <mergeCell ref="B103:C103"/>
    <mergeCell ref="B104:C104"/>
    <mergeCell ref="B77:C77"/>
    <mergeCell ref="B78:C78"/>
    <mergeCell ref="B79:C79"/>
    <mergeCell ref="B80:C80"/>
    <mergeCell ref="B81:C81"/>
    <mergeCell ref="B82:C82"/>
    <mergeCell ref="B70:C70"/>
    <mergeCell ref="B72:C72"/>
    <mergeCell ref="B73:C73"/>
    <mergeCell ref="B74:C74"/>
    <mergeCell ref="B75:C75"/>
    <mergeCell ref="B76:C76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A61:C61"/>
    <mergeCell ref="B62:C62"/>
    <mergeCell ref="B63:C63"/>
    <mergeCell ref="B49:C49"/>
    <mergeCell ref="D51:I51"/>
    <mergeCell ref="B52:C52"/>
    <mergeCell ref="B54:C54"/>
    <mergeCell ref="B55:C55"/>
    <mergeCell ref="B56:C56"/>
    <mergeCell ref="B41:C41"/>
    <mergeCell ref="B42:C42"/>
    <mergeCell ref="B44:C44"/>
    <mergeCell ref="B45:C45"/>
    <mergeCell ref="B46:C46"/>
    <mergeCell ref="B47:C47"/>
    <mergeCell ref="B35:C35"/>
    <mergeCell ref="B36:C36"/>
    <mergeCell ref="B37:C37"/>
    <mergeCell ref="B38:C38"/>
    <mergeCell ref="B39:C39"/>
    <mergeCell ref="B40:C40"/>
    <mergeCell ref="B26:C26"/>
    <mergeCell ref="B29:C29"/>
    <mergeCell ref="B30:C30"/>
    <mergeCell ref="B31:C31"/>
    <mergeCell ref="B33:C33"/>
    <mergeCell ref="B34:C34"/>
    <mergeCell ref="B19:C19"/>
    <mergeCell ref="B20:C20"/>
    <mergeCell ref="B21:C21"/>
    <mergeCell ref="B22:C22"/>
    <mergeCell ref="B24:C24"/>
    <mergeCell ref="B25:C25"/>
    <mergeCell ref="B12:C12"/>
    <mergeCell ref="B13:C13"/>
    <mergeCell ref="B14:C14"/>
    <mergeCell ref="B15:C15"/>
    <mergeCell ref="B16:C16"/>
    <mergeCell ref="B18:C18"/>
    <mergeCell ref="B5:C5"/>
    <mergeCell ref="B6:C6"/>
    <mergeCell ref="B8:C8"/>
    <mergeCell ref="B9:C9"/>
    <mergeCell ref="B10:C10"/>
    <mergeCell ref="B11:C11"/>
    <mergeCell ref="B7:C7"/>
    <mergeCell ref="A1:I1"/>
    <mergeCell ref="A2:I2"/>
    <mergeCell ref="A3:A4"/>
    <mergeCell ref="B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scale="70" r:id="rId3"/>
  <headerFooter alignWithMargins="0"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3"/>
  <sheetViews>
    <sheetView zoomScale="85" zoomScaleNormal="85" zoomScalePageLayoutView="0" workbookViewId="0" topLeftCell="A69">
      <selection activeCell="F99" sqref="F99"/>
    </sheetView>
  </sheetViews>
  <sheetFormatPr defaultColWidth="9.140625" defaultRowHeight="15"/>
  <cols>
    <col min="1" max="1" width="11.140625" style="0" customWidth="1"/>
    <col min="3" max="3" width="35.421875" style="0" customWidth="1"/>
    <col min="4" max="4" width="21.140625" style="0" customWidth="1"/>
    <col min="5" max="5" width="19.7109375" style="1" customWidth="1"/>
    <col min="6" max="6" width="19.8515625" style="0" customWidth="1"/>
    <col min="7" max="7" width="19.140625" style="0" customWidth="1"/>
    <col min="8" max="8" width="18.140625" style="0" customWidth="1"/>
    <col min="9" max="9" width="12.7109375" style="0" customWidth="1"/>
    <col min="11" max="11" width="19.421875" style="0" bestFit="1" customWidth="1"/>
  </cols>
  <sheetData>
    <row r="1" spans="1:12" ht="18">
      <c r="A1" s="320" t="s">
        <v>45</v>
      </c>
      <c r="B1" s="320"/>
      <c r="C1" s="320"/>
      <c r="D1" s="320"/>
      <c r="E1" s="320"/>
      <c r="F1" s="320"/>
      <c r="G1" s="320"/>
      <c r="H1" s="320"/>
      <c r="I1" s="320"/>
      <c r="K1" s="1"/>
      <c r="L1" s="1"/>
    </row>
    <row r="2" spans="1:12" ht="18">
      <c r="A2" s="320" t="s">
        <v>1093</v>
      </c>
      <c r="B2" s="320"/>
      <c r="C2" s="320"/>
      <c r="D2" s="320"/>
      <c r="E2" s="320"/>
      <c r="F2" s="320"/>
      <c r="G2" s="320"/>
      <c r="H2" s="320"/>
      <c r="I2" s="320"/>
      <c r="K2" s="1"/>
      <c r="L2" s="1"/>
    </row>
    <row r="3" spans="1:12" ht="15.75" customHeight="1">
      <c r="A3" s="321"/>
      <c r="B3" s="322" t="s">
        <v>0</v>
      </c>
      <c r="C3" s="322"/>
      <c r="D3" s="323" t="s">
        <v>1068</v>
      </c>
      <c r="E3" s="324" t="s">
        <v>1094</v>
      </c>
      <c r="F3" s="326" t="s">
        <v>1095</v>
      </c>
      <c r="G3" s="324" t="s">
        <v>1096</v>
      </c>
      <c r="H3" s="322" t="s">
        <v>2</v>
      </c>
      <c r="I3" s="322" t="s">
        <v>1</v>
      </c>
      <c r="K3" s="1"/>
      <c r="L3" s="1"/>
    </row>
    <row r="4" spans="1:12" ht="15.75" customHeight="1">
      <c r="A4" s="321"/>
      <c r="B4" s="322"/>
      <c r="C4" s="322"/>
      <c r="D4" s="323"/>
      <c r="E4" s="325"/>
      <c r="F4" s="326"/>
      <c r="G4" s="325"/>
      <c r="H4" s="322"/>
      <c r="I4" s="322"/>
      <c r="K4" s="1"/>
      <c r="L4" s="1"/>
    </row>
    <row r="5" spans="1:12" ht="19.5" customHeight="1">
      <c r="A5" s="2"/>
      <c r="B5" s="327" t="s">
        <v>4</v>
      </c>
      <c r="C5" s="327"/>
      <c r="D5" s="17"/>
      <c r="E5" s="17"/>
      <c r="F5" s="17"/>
      <c r="G5" s="17" t="s">
        <v>53</v>
      </c>
      <c r="H5" s="17"/>
      <c r="I5" s="9"/>
      <c r="K5" s="1"/>
      <c r="L5" s="1"/>
    </row>
    <row r="6" spans="1:12" ht="15">
      <c r="A6" s="46">
        <v>110851</v>
      </c>
      <c r="B6" s="314" t="s">
        <v>1097</v>
      </c>
      <c r="C6" s="314"/>
      <c r="D6" s="34">
        <v>1460000000</v>
      </c>
      <c r="E6" s="34">
        <v>0</v>
      </c>
      <c r="F6" s="66">
        <v>0</v>
      </c>
      <c r="G6" s="34">
        <f aca="true" t="shared" si="0" ref="G6:G14">E6+F6</f>
        <v>0</v>
      </c>
      <c r="H6" s="34">
        <f aca="true" t="shared" si="1" ref="H6:H16">D6-G6</f>
        <v>1460000000</v>
      </c>
      <c r="I6" s="41">
        <f aca="true" t="shared" si="2" ref="I6:I16">G6/D6*100</f>
        <v>0</v>
      </c>
      <c r="K6" s="161"/>
      <c r="L6" s="1"/>
    </row>
    <row r="7" spans="1:12" ht="15">
      <c r="A7" s="46">
        <v>110851</v>
      </c>
      <c r="B7" s="314" t="s">
        <v>1098</v>
      </c>
      <c r="C7" s="314"/>
      <c r="D7" s="34"/>
      <c r="E7" s="34">
        <v>752009168.1</v>
      </c>
      <c r="F7" s="66">
        <f>1423023.25+14568435.81+36980898.81</f>
        <v>52972357.870000005</v>
      </c>
      <c r="G7" s="34">
        <f>E7+F7</f>
        <v>804981525.97</v>
      </c>
      <c r="H7" s="34"/>
      <c r="I7" s="41"/>
      <c r="K7" s="161"/>
      <c r="L7" s="1"/>
    </row>
    <row r="8" spans="1:12" ht="15">
      <c r="A8" s="46">
        <v>140283</v>
      </c>
      <c r="B8" s="314" t="s">
        <v>7</v>
      </c>
      <c r="C8" s="314"/>
      <c r="D8" s="34">
        <v>20000000</v>
      </c>
      <c r="E8" s="34">
        <v>1100000</v>
      </c>
      <c r="F8" s="66">
        <v>0</v>
      </c>
      <c r="G8" s="34">
        <f t="shared" si="0"/>
        <v>1100000</v>
      </c>
      <c r="H8" s="34">
        <f t="shared" si="1"/>
        <v>18900000</v>
      </c>
      <c r="I8" s="41">
        <f t="shared" si="2"/>
        <v>5.5</v>
      </c>
      <c r="K8" s="1"/>
      <c r="L8" s="1"/>
    </row>
    <row r="9" spans="1:12" ht="15.75">
      <c r="A9" s="46">
        <v>140289</v>
      </c>
      <c r="B9" s="314" t="s">
        <v>58</v>
      </c>
      <c r="C9" s="314"/>
      <c r="D9" s="34">
        <v>3000000</v>
      </c>
      <c r="E9" s="34">
        <v>0</v>
      </c>
      <c r="F9" s="66">
        <v>0</v>
      </c>
      <c r="G9" s="34">
        <f t="shared" si="0"/>
        <v>0</v>
      </c>
      <c r="H9" s="34">
        <f t="shared" si="1"/>
        <v>3000000</v>
      </c>
      <c r="I9" s="41">
        <f t="shared" si="2"/>
        <v>0</v>
      </c>
      <c r="K9" s="160"/>
      <c r="L9" s="1"/>
    </row>
    <row r="10" spans="1:12" ht="15">
      <c r="A10" s="46">
        <v>140291</v>
      </c>
      <c r="B10" s="314" t="s">
        <v>8</v>
      </c>
      <c r="C10" s="314"/>
      <c r="D10" s="34">
        <v>20000000</v>
      </c>
      <c r="E10" s="34">
        <v>4625000</v>
      </c>
      <c r="F10" s="66">
        <v>0</v>
      </c>
      <c r="G10" s="34">
        <f t="shared" si="0"/>
        <v>4625000</v>
      </c>
      <c r="H10" s="34">
        <f t="shared" si="1"/>
        <v>15375000</v>
      </c>
      <c r="I10" s="41">
        <f t="shared" si="2"/>
        <v>23.125</v>
      </c>
      <c r="K10" s="161"/>
      <c r="L10" s="1"/>
    </row>
    <row r="11" spans="1:12" ht="15">
      <c r="A11" s="46">
        <v>140292</v>
      </c>
      <c r="B11" s="314" t="s">
        <v>9</v>
      </c>
      <c r="C11" s="314"/>
      <c r="D11" s="34">
        <v>2400000</v>
      </c>
      <c r="E11" s="34">
        <v>525000</v>
      </c>
      <c r="F11" s="66">
        <v>0</v>
      </c>
      <c r="G11" s="34">
        <f t="shared" si="0"/>
        <v>525000</v>
      </c>
      <c r="H11" s="34">
        <f t="shared" si="1"/>
        <v>1875000</v>
      </c>
      <c r="I11" s="41">
        <f t="shared" si="2"/>
        <v>21.875</v>
      </c>
      <c r="K11" s="1"/>
      <c r="L11" s="1"/>
    </row>
    <row r="12" spans="1:12" ht="15">
      <c r="A12" s="46">
        <v>140387</v>
      </c>
      <c r="B12" s="314" t="s">
        <v>14</v>
      </c>
      <c r="C12" s="314"/>
      <c r="D12" s="34">
        <v>2000000</v>
      </c>
      <c r="E12" s="34">
        <v>0</v>
      </c>
      <c r="F12" s="164">
        <v>2250000</v>
      </c>
      <c r="G12" s="34">
        <f t="shared" si="0"/>
        <v>2250000</v>
      </c>
      <c r="H12" s="34">
        <f t="shared" si="1"/>
        <v>-250000</v>
      </c>
      <c r="I12" s="41">
        <f t="shared" si="2"/>
        <v>112.5</v>
      </c>
      <c r="K12" s="1"/>
      <c r="L12" s="1"/>
    </row>
    <row r="13" spans="1:12" ht="15">
      <c r="A13" s="46">
        <v>140353</v>
      </c>
      <c r="B13" s="314" t="s">
        <v>57</v>
      </c>
      <c r="C13" s="314"/>
      <c r="D13" s="34">
        <v>256400000</v>
      </c>
      <c r="E13" s="34">
        <v>0</v>
      </c>
      <c r="F13" s="34">
        <v>0</v>
      </c>
      <c r="G13" s="34">
        <f t="shared" si="0"/>
        <v>0</v>
      </c>
      <c r="H13" s="34">
        <f t="shared" si="1"/>
        <v>256400000</v>
      </c>
      <c r="I13" s="41">
        <f t="shared" si="2"/>
        <v>0</v>
      </c>
      <c r="K13" s="1"/>
      <c r="L13" s="1"/>
    </row>
    <row r="14" spans="1:12" ht="15">
      <c r="A14" s="46">
        <v>140392</v>
      </c>
      <c r="B14" s="311" t="s">
        <v>67</v>
      </c>
      <c r="C14" s="312"/>
      <c r="D14" s="71">
        <v>1200000</v>
      </c>
      <c r="E14" s="34">
        <v>600000</v>
      </c>
      <c r="F14" s="34">
        <v>0</v>
      </c>
      <c r="G14" s="34">
        <f t="shared" si="0"/>
        <v>600000</v>
      </c>
      <c r="H14" s="34">
        <f t="shared" si="1"/>
        <v>600000</v>
      </c>
      <c r="I14" s="41">
        <f t="shared" si="2"/>
        <v>50</v>
      </c>
      <c r="K14" s="1"/>
      <c r="L14" s="1"/>
    </row>
    <row r="15" spans="1:12" ht="15">
      <c r="A15" s="46">
        <v>140505</v>
      </c>
      <c r="B15" s="314" t="s">
        <v>6</v>
      </c>
      <c r="C15" s="314"/>
      <c r="D15" s="34">
        <v>56000000</v>
      </c>
      <c r="E15" s="34">
        <v>2450000</v>
      </c>
      <c r="F15" s="66">
        <f>42000+1500+4500+45000+4500+13500+40000+27000+27000+400000</f>
        <v>605000</v>
      </c>
      <c r="G15" s="34">
        <f>E15+F15</f>
        <v>3055000</v>
      </c>
      <c r="H15" s="34">
        <f>D15-G15</f>
        <v>52945000</v>
      </c>
      <c r="I15" s="41">
        <f>G15/D15*100</f>
        <v>5.455357142857143</v>
      </c>
      <c r="K15" s="1"/>
      <c r="L15" s="1"/>
    </row>
    <row r="16" spans="1:12" ht="15.75" thickBot="1">
      <c r="A16" s="18"/>
      <c r="B16" s="313" t="s">
        <v>3</v>
      </c>
      <c r="C16" s="313"/>
      <c r="D16" s="49">
        <f>SUM(D6:D15)</f>
        <v>1821000000</v>
      </c>
      <c r="E16" s="49">
        <f>SUM(E6:E15)</f>
        <v>761309168.1</v>
      </c>
      <c r="F16" s="49">
        <f>SUM(F6:F15)</f>
        <v>55827357.870000005</v>
      </c>
      <c r="G16" s="44">
        <f>E16+F16</f>
        <v>817136525.97</v>
      </c>
      <c r="H16" s="44">
        <f t="shared" si="1"/>
        <v>1003863474.03</v>
      </c>
      <c r="I16" s="45">
        <f t="shared" si="2"/>
        <v>44.872955846787484</v>
      </c>
      <c r="K16" s="1"/>
      <c r="L16" s="1"/>
    </row>
    <row r="17" spans="1:12" ht="15.75" thickTop="1">
      <c r="A17" s="9"/>
      <c r="B17" s="10"/>
      <c r="C17" s="10"/>
      <c r="D17" s="19"/>
      <c r="E17" s="19"/>
      <c r="F17" s="19"/>
      <c r="G17" s="19"/>
      <c r="H17" s="19"/>
      <c r="I17" s="165"/>
      <c r="K17" s="1"/>
      <c r="L17" s="1"/>
    </row>
    <row r="18" spans="1:12" ht="15">
      <c r="A18" s="9"/>
      <c r="B18" s="327" t="s">
        <v>10</v>
      </c>
      <c r="C18" s="327"/>
      <c r="D18" s="19"/>
      <c r="E18" s="19"/>
      <c r="F18" s="19"/>
      <c r="G18" s="19"/>
      <c r="H18" s="19"/>
      <c r="I18" s="165"/>
      <c r="K18" s="1"/>
      <c r="L18" s="1"/>
    </row>
    <row r="19" spans="1:12" ht="15">
      <c r="A19" s="46">
        <v>140370</v>
      </c>
      <c r="B19" s="314" t="s">
        <v>12</v>
      </c>
      <c r="C19" s="314"/>
      <c r="D19" s="34">
        <v>9000000</v>
      </c>
      <c r="E19" s="34">
        <v>1184000</v>
      </c>
      <c r="F19" s="66">
        <v>380000</v>
      </c>
      <c r="G19" s="34">
        <f>E19+F19</f>
        <v>1564000</v>
      </c>
      <c r="H19" s="34">
        <f>D19-G19</f>
        <v>7436000</v>
      </c>
      <c r="I19" s="41">
        <f>G19/D19*100</f>
        <v>17.377777777777776</v>
      </c>
      <c r="K19" s="1"/>
      <c r="L19" s="1"/>
    </row>
    <row r="20" spans="1:12" ht="15">
      <c r="A20" s="46">
        <v>140371</v>
      </c>
      <c r="B20" s="314" t="s">
        <v>13</v>
      </c>
      <c r="C20" s="314"/>
      <c r="D20" s="34">
        <v>20000000</v>
      </c>
      <c r="E20" s="34">
        <v>6465000</v>
      </c>
      <c r="F20" s="164">
        <f>900000</f>
        <v>900000</v>
      </c>
      <c r="G20" s="34">
        <f>E20+F20</f>
        <v>7365000</v>
      </c>
      <c r="H20" s="34">
        <f>D20-G20</f>
        <v>12635000</v>
      </c>
      <c r="I20" s="41">
        <f>G20/D20*100</f>
        <v>36.825</v>
      </c>
      <c r="K20" s="1"/>
      <c r="L20" s="1"/>
    </row>
    <row r="21" spans="1:12" ht="15">
      <c r="A21" s="46">
        <v>110852</v>
      </c>
      <c r="B21" s="314" t="s">
        <v>11</v>
      </c>
      <c r="C21" s="314"/>
      <c r="D21" s="34">
        <v>18000000</v>
      </c>
      <c r="E21" s="34">
        <v>0</v>
      </c>
      <c r="F21" s="34">
        <v>0</v>
      </c>
      <c r="G21" s="34">
        <f>E21+F21</f>
        <v>0</v>
      </c>
      <c r="H21" s="34">
        <f>D21-G21</f>
        <v>18000000</v>
      </c>
      <c r="I21" s="41">
        <f>G21/D21*100</f>
        <v>0</v>
      </c>
      <c r="K21" s="1"/>
      <c r="L21" s="1"/>
    </row>
    <row r="22" spans="1:12" ht="15.75" thickBot="1">
      <c r="A22" s="9"/>
      <c r="B22" s="313" t="s">
        <v>3</v>
      </c>
      <c r="C22" s="313"/>
      <c r="D22" s="49">
        <f>SUM(D19:D21)</f>
        <v>47000000</v>
      </c>
      <c r="E22" s="49">
        <f>SUM(E19:E21)</f>
        <v>7649000</v>
      </c>
      <c r="F22" s="44">
        <f>SUM(F19:F20)</f>
        <v>1280000</v>
      </c>
      <c r="G22" s="44">
        <f>E22+F22</f>
        <v>8929000</v>
      </c>
      <c r="H22" s="44">
        <f>D22-G22</f>
        <v>38071000</v>
      </c>
      <c r="I22" s="45">
        <f>G22/D22*100</f>
        <v>18.99787234042553</v>
      </c>
      <c r="K22" s="1"/>
      <c r="L22" s="1"/>
    </row>
    <row r="23" spans="1:12" ht="15.75" thickTop="1">
      <c r="A23" s="9"/>
      <c r="B23" s="70"/>
      <c r="C23" s="70"/>
      <c r="D23" s="67"/>
      <c r="E23" s="67"/>
      <c r="F23" s="26"/>
      <c r="G23" s="21"/>
      <c r="H23" s="21"/>
      <c r="I23" s="166"/>
      <c r="K23" s="1"/>
      <c r="L23" s="1"/>
    </row>
    <row r="24" spans="1:12" ht="15">
      <c r="A24" s="9"/>
      <c r="B24" s="327" t="s">
        <v>15</v>
      </c>
      <c r="C24" s="327"/>
      <c r="D24" s="19"/>
      <c r="E24" s="19"/>
      <c r="F24" s="19"/>
      <c r="G24" s="19"/>
      <c r="H24" s="19"/>
      <c r="I24" s="165"/>
      <c r="K24" s="1"/>
      <c r="L24" s="1"/>
    </row>
    <row r="25" spans="1:12" ht="15">
      <c r="A25" s="46">
        <v>110809</v>
      </c>
      <c r="B25" s="314" t="s">
        <v>16</v>
      </c>
      <c r="C25" s="314"/>
      <c r="D25" s="34">
        <v>3000000</v>
      </c>
      <c r="E25" s="34">
        <v>0</v>
      </c>
      <c r="F25" s="34">
        <v>0</v>
      </c>
      <c r="G25" s="34">
        <f aca="true" t="shared" si="3" ref="G25:G31">E25+F25</f>
        <v>0</v>
      </c>
      <c r="H25" s="34">
        <f aca="true" t="shared" si="4" ref="H25:H31">D25-G25</f>
        <v>3000000</v>
      </c>
      <c r="I25" s="41">
        <f aca="true" t="shared" si="5" ref="I25:I31">G25/D25*100</f>
        <v>0</v>
      </c>
      <c r="K25" s="1"/>
      <c r="L25" s="1"/>
    </row>
    <row r="26" spans="1:12" ht="15">
      <c r="A26" s="46">
        <v>110810</v>
      </c>
      <c r="B26" s="314" t="s">
        <v>17</v>
      </c>
      <c r="C26" s="314"/>
      <c r="D26" s="34">
        <v>25000000</v>
      </c>
      <c r="E26" s="34">
        <v>14650000</v>
      </c>
      <c r="F26" s="164">
        <v>0</v>
      </c>
      <c r="G26" s="34">
        <f t="shared" si="3"/>
        <v>14650000</v>
      </c>
      <c r="H26" s="34">
        <f t="shared" si="4"/>
        <v>10350000</v>
      </c>
      <c r="I26" s="41">
        <f t="shared" si="5"/>
        <v>58.599999999999994</v>
      </c>
      <c r="K26" s="1"/>
      <c r="L26" s="1"/>
    </row>
    <row r="27" spans="1:12" ht="15">
      <c r="A27" s="46">
        <v>110806</v>
      </c>
      <c r="B27" s="183" t="s">
        <v>46</v>
      </c>
      <c r="C27" s="183"/>
      <c r="D27" s="34">
        <v>35000000</v>
      </c>
      <c r="E27" s="34">
        <v>0</v>
      </c>
      <c r="F27" s="34">
        <v>18783140</v>
      </c>
      <c r="G27" s="34">
        <f t="shared" si="3"/>
        <v>18783140</v>
      </c>
      <c r="H27" s="34">
        <f t="shared" si="4"/>
        <v>16216860</v>
      </c>
      <c r="I27" s="41">
        <f t="shared" si="5"/>
        <v>53.666114285714286</v>
      </c>
      <c r="K27" s="1"/>
      <c r="L27" s="1"/>
    </row>
    <row r="28" spans="1:12" ht="15">
      <c r="A28" s="46">
        <v>110807</v>
      </c>
      <c r="B28" s="183" t="s">
        <v>47</v>
      </c>
      <c r="C28" s="183"/>
      <c r="D28" s="34">
        <v>3000000</v>
      </c>
      <c r="E28" s="34">
        <v>0</v>
      </c>
      <c r="F28" s="34">
        <v>0</v>
      </c>
      <c r="G28" s="34">
        <f t="shared" si="3"/>
        <v>0</v>
      </c>
      <c r="H28" s="34">
        <f t="shared" si="4"/>
        <v>3000000</v>
      </c>
      <c r="I28" s="41">
        <f t="shared" si="5"/>
        <v>0</v>
      </c>
      <c r="K28" s="1"/>
      <c r="L28" s="1"/>
    </row>
    <row r="29" spans="1:12" ht="15">
      <c r="A29" s="46"/>
      <c r="B29" s="311" t="s">
        <v>69</v>
      </c>
      <c r="C29" s="312"/>
      <c r="D29" s="71">
        <v>15000000</v>
      </c>
      <c r="E29" s="34">
        <v>625000</v>
      </c>
      <c r="F29" s="34">
        <v>0</v>
      </c>
      <c r="G29" s="34">
        <f t="shared" si="3"/>
        <v>625000</v>
      </c>
      <c r="H29" s="34">
        <f t="shared" si="4"/>
        <v>14375000</v>
      </c>
      <c r="I29" s="41">
        <f t="shared" si="5"/>
        <v>4.166666666666666</v>
      </c>
      <c r="K29" s="1"/>
      <c r="L29" s="1"/>
    </row>
    <row r="30" spans="1:12" ht="15">
      <c r="A30" s="46"/>
      <c r="B30" s="311" t="s">
        <v>70</v>
      </c>
      <c r="C30" s="312"/>
      <c r="D30" s="71">
        <v>2500000</v>
      </c>
      <c r="E30" s="34">
        <v>0</v>
      </c>
      <c r="F30" s="34">
        <v>500000</v>
      </c>
      <c r="G30" s="34">
        <f t="shared" si="3"/>
        <v>500000</v>
      </c>
      <c r="H30" s="34">
        <f t="shared" si="4"/>
        <v>2000000</v>
      </c>
      <c r="I30" s="41">
        <f t="shared" si="5"/>
        <v>20</v>
      </c>
      <c r="K30" s="1"/>
      <c r="L30" s="1"/>
    </row>
    <row r="31" spans="1:12" ht="15.75" thickBot="1">
      <c r="A31" s="9"/>
      <c r="B31" s="328" t="s">
        <v>3</v>
      </c>
      <c r="C31" s="328"/>
      <c r="D31" s="49">
        <f>SUM(D25:D30)</f>
        <v>83500000</v>
      </c>
      <c r="E31" s="49">
        <f>SUM(E25:E30)</f>
        <v>15275000</v>
      </c>
      <c r="F31" s="44">
        <f>SUM(F25:F30)</f>
        <v>19283140</v>
      </c>
      <c r="G31" s="44">
        <f t="shared" si="3"/>
        <v>34558140</v>
      </c>
      <c r="H31" s="44">
        <f t="shared" si="4"/>
        <v>48941860</v>
      </c>
      <c r="I31" s="45">
        <f t="shared" si="5"/>
        <v>41.38699401197605</v>
      </c>
      <c r="K31" s="1"/>
      <c r="L31" s="1"/>
    </row>
    <row r="32" spans="1:12" ht="15.75" thickTop="1">
      <c r="A32" s="9"/>
      <c r="B32" s="70"/>
      <c r="C32" s="70"/>
      <c r="D32" s="67"/>
      <c r="E32" s="67"/>
      <c r="F32" s="67"/>
      <c r="G32" s="19"/>
      <c r="H32" s="19"/>
      <c r="I32" s="165"/>
      <c r="K32" s="1"/>
      <c r="L32" s="1"/>
    </row>
    <row r="33" spans="1:12" ht="15">
      <c r="A33" s="9"/>
      <c r="B33" s="318" t="s">
        <v>18</v>
      </c>
      <c r="C33" s="318"/>
      <c r="D33" s="67"/>
      <c r="E33" s="67"/>
      <c r="F33" s="67"/>
      <c r="G33" s="19"/>
      <c r="H33" s="19"/>
      <c r="I33" s="165"/>
      <c r="K33" s="1"/>
      <c r="L33" s="1"/>
    </row>
    <row r="34" spans="1:12" ht="15">
      <c r="A34" s="46">
        <v>140348</v>
      </c>
      <c r="B34" s="314" t="s">
        <v>19</v>
      </c>
      <c r="C34" s="314"/>
      <c r="D34" s="34">
        <v>40000000</v>
      </c>
      <c r="E34" s="34">
        <v>1500000</v>
      </c>
      <c r="F34" s="66">
        <v>0</v>
      </c>
      <c r="G34" s="34">
        <f>E34+F34</f>
        <v>1500000</v>
      </c>
      <c r="H34" s="34">
        <f>D34-G34</f>
        <v>38500000</v>
      </c>
      <c r="I34" s="41">
        <f>G34/D34*100</f>
        <v>3.75</v>
      </c>
      <c r="K34" s="1"/>
      <c r="L34" s="1"/>
    </row>
    <row r="35" spans="1:12" ht="15">
      <c r="A35" s="46">
        <v>140349</v>
      </c>
      <c r="B35" s="314" t="s">
        <v>20</v>
      </c>
      <c r="C35" s="314"/>
      <c r="D35" s="34">
        <v>4000000</v>
      </c>
      <c r="E35" s="34">
        <v>1470000</v>
      </c>
      <c r="F35" s="66">
        <v>0</v>
      </c>
      <c r="G35" s="34">
        <f>E35+F35</f>
        <v>1470000</v>
      </c>
      <c r="H35" s="34">
        <f>D35-G35</f>
        <v>2530000</v>
      </c>
      <c r="I35" s="41">
        <f>G35/D35*100</f>
        <v>36.75</v>
      </c>
      <c r="K35" s="1"/>
      <c r="L35" s="1"/>
    </row>
    <row r="36" spans="1:12" ht="15">
      <c r="A36" s="46"/>
      <c r="B36" s="311" t="s">
        <v>68</v>
      </c>
      <c r="C36" s="312"/>
      <c r="D36" s="71">
        <v>4000000</v>
      </c>
      <c r="E36" s="34">
        <v>20000</v>
      </c>
      <c r="F36" s="34">
        <v>0</v>
      </c>
      <c r="G36" s="34">
        <f>E36+F36</f>
        <v>20000</v>
      </c>
      <c r="H36" s="34">
        <f>D36-G36</f>
        <v>3980000</v>
      </c>
      <c r="I36" s="41">
        <f>G36/D36*100</f>
        <v>0.5</v>
      </c>
      <c r="K36" s="1"/>
      <c r="L36" s="1"/>
    </row>
    <row r="37" spans="1:12" ht="15.75" thickBot="1">
      <c r="A37" s="9"/>
      <c r="B37" s="328" t="s">
        <v>3</v>
      </c>
      <c r="C37" s="328"/>
      <c r="D37" s="49">
        <f>SUM(D34:D36)</f>
        <v>48000000</v>
      </c>
      <c r="E37" s="49">
        <f>SUM(E34:E36)</f>
        <v>2990000</v>
      </c>
      <c r="F37" s="44">
        <f>SUM(F34:F36)</f>
        <v>0</v>
      </c>
      <c r="G37" s="44">
        <f>E37+F37</f>
        <v>2990000</v>
      </c>
      <c r="H37" s="44">
        <f>D37-G37</f>
        <v>45010000</v>
      </c>
      <c r="I37" s="45">
        <f>G37/D37*100</f>
        <v>6.229166666666667</v>
      </c>
      <c r="K37" s="1"/>
      <c r="L37" s="1"/>
    </row>
    <row r="38" spans="1:12" ht="15.75" thickTop="1">
      <c r="A38" s="9"/>
      <c r="B38" s="315"/>
      <c r="C38" s="315"/>
      <c r="D38" s="19"/>
      <c r="E38" s="19"/>
      <c r="F38" s="19"/>
      <c r="G38" s="19"/>
      <c r="H38" s="19"/>
      <c r="I38" s="165"/>
      <c r="K38" s="1"/>
      <c r="L38" s="1"/>
    </row>
    <row r="39" spans="1:12" ht="15.75">
      <c r="A39" s="76"/>
      <c r="B39" s="318" t="s">
        <v>21</v>
      </c>
      <c r="C39" s="318"/>
      <c r="D39" s="19"/>
      <c r="E39" s="19"/>
      <c r="F39" s="19"/>
      <c r="G39" s="19"/>
      <c r="H39" s="19"/>
      <c r="I39" s="165"/>
      <c r="K39" s="1"/>
      <c r="L39" s="1"/>
    </row>
    <row r="40" spans="1:12" ht="15">
      <c r="A40" s="46">
        <v>110802</v>
      </c>
      <c r="B40" s="314" t="s">
        <v>22</v>
      </c>
      <c r="C40" s="314"/>
      <c r="D40" s="34">
        <v>4500000</v>
      </c>
      <c r="E40" s="34">
        <v>0</v>
      </c>
      <c r="F40" s="34">
        <v>0</v>
      </c>
      <c r="G40" s="34">
        <f>E40+F40</f>
        <v>0</v>
      </c>
      <c r="H40" s="34">
        <f>D40-G40</f>
        <v>4500000</v>
      </c>
      <c r="I40" s="41">
        <f>G40/D40*100</f>
        <v>0</v>
      </c>
      <c r="K40" s="1"/>
      <c r="L40" s="1"/>
    </row>
    <row r="41" spans="1:12" ht="15">
      <c r="A41" s="46">
        <v>140289</v>
      </c>
      <c r="B41" s="314" t="s">
        <v>23</v>
      </c>
      <c r="C41" s="314"/>
      <c r="D41" s="34">
        <v>5000000</v>
      </c>
      <c r="E41" s="34">
        <v>0</v>
      </c>
      <c r="F41" s="66">
        <f>50000+140000+140000+140000+140000+80000+50000</f>
        <v>740000</v>
      </c>
      <c r="G41" s="34">
        <f>E41+F41</f>
        <v>740000</v>
      </c>
      <c r="H41" s="34">
        <f>D41-G41</f>
        <v>4260000</v>
      </c>
      <c r="I41" s="41">
        <f>G41/D41*100</f>
        <v>14.799999999999999</v>
      </c>
      <c r="K41" s="1"/>
      <c r="L41" s="1"/>
    </row>
    <row r="42" spans="1:12" ht="15.75" thickBot="1">
      <c r="A42" s="9"/>
      <c r="B42" s="328" t="s">
        <v>3</v>
      </c>
      <c r="C42" s="328"/>
      <c r="D42" s="49">
        <f>SUM(D40:D41)</f>
        <v>9500000</v>
      </c>
      <c r="E42" s="49">
        <f>SUM(E40:E41)</f>
        <v>0</v>
      </c>
      <c r="F42" s="49">
        <f>SUM(F40:F41)</f>
        <v>740000</v>
      </c>
      <c r="G42" s="44">
        <f>E42+F42</f>
        <v>740000</v>
      </c>
      <c r="H42" s="44">
        <f>D42-G42</f>
        <v>8760000</v>
      </c>
      <c r="I42" s="45">
        <f>G42/D42*100</f>
        <v>7.7894736842105265</v>
      </c>
      <c r="K42" s="1"/>
      <c r="L42" s="1"/>
    </row>
    <row r="43" spans="1:12" ht="15.75" thickTop="1">
      <c r="A43" s="9"/>
      <c r="B43" s="70"/>
      <c r="C43" s="70"/>
      <c r="D43" s="67"/>
      <c r="E43" s="67"/>
      <c r="F43" s="67"/>
      <c r="G43" s="19"/>
      <c r="H43" s="19"/>
      <c r="I43" s="165"/>
      <c r="K43" s="1"/>
      <c r="L43" s="1"/>
    </row>
    <row r="44" spans="1:12" ht="15">
      <c r="A44" s="9"/>
      <c r="B44" s="329" t="s">
        <v>24</v>
      </c>
      <c r="C44" s="329"/>
      <c r="D44" s="67"/>
      <c r="E44" s="67"/>
      <c r="F44" s="67"/>
      <c r="G44" s="19"/>
      <c r="H44" s="19"/>
      <c r="I44" s="165"/>
      <c r="K44" s="1"/>
      <c r="L44" s="1"/>
    </row>
    <row r="45" spans="1:12" ht="15">
      <c r="A45" s="46">
        <v>140376</v>
      </c>
      <c r="B45" s="314" t="s">
        <v>25</v>
      </c>
      <c r="C45" s="314"/>
      <c r="D45" s="34">
        <v>6000000</v>
      </c>
      <c r="E45" s="34">
        <v>1700000</v>
      </c>
      <c r="F45" s="66">
        <v>0</v>
      </c>
      <c r="G45" s="34">
        <f>E45+F45</f>
        <v>1700000</v>
      </c>
      <c r="H45" s="34">
        <f>D45-G45</f>
        <v>4300000</v>
      </c>
      <c r="I45" s="41">
        <f>G45/D45*100</f>
        <v>28.333333333333332</v>
      </c>
      <c r="K45" s="1"/>
      <c r="L45" s="1"/>
    </row>
    <row r="46" spans="1:12" ht="15">
      <c r="A46" s="46">
        <v>140378</v>
      </c>
      <c r="B46" s="314" t="s">
        <v>26</v>
      </c>
      <c r="C46" s="314"/>
      <c r="D46" s="34">
        <v>500000</v>
      </c>
      <c r="E46" s="34">
        <v>2000</v>
      </c>
      <c r="F46" s="164">
        <v>0</v>
      </c>
      <c r="G46" s="34">
        <f>E46+F46</f>
        <v>2000</v>
      </c>
      <c r="H46" s="34">
        <f>D46-G46</f>
        <v>498000</v>
      </c>
      <c r="I46" s="41">
        <f>G46/D46*100</f>
        <v>0.4</v>
      </c>
      <c r="K46" s="1"/>
      <c r="L46" s="1"/>
    </row>
    <row r="47" spans="1:12" ht="15.75" thickBot="1">
      <c r="A47" s="9"/>
      <c r="B47" s="328" t="s">
        <v>3</v>
      </c>
      <c r="C47" s="328"/>
      <c r="D47" s="49">
        <f>SUM(D45:D46)</f>
        <v>6500000</v>
      </c>
      <c r="E47" s="49">
        <f>SUM(E45:E46)</f>
        <v>1702000</v>
      </c>
      <c r="F47" s="44">
        <f>SUM(F45:F46)</f>
        <v>0</v>
      </c>
      <c r="G47" s="44">
        <f>E47+F47</f>
        <v>1702000</v>
      </c>
      <c r="H47" s="44">
        <f>D47-G47</f>
        <v>4798000</v>
      </c>
      <c r="I47" s="45">
        <f>G47/D47*100</f>
        <v>26.184615384615384</v>
      </c>
      <c r="K47" s="1"/>
      <c r="L47" s="1"/>
    </row>
    <row r="48" spans="1:12" ht="15.75" thickTop="1">
      <c r="A48" s="9"/>
      <c r="B48" s="68"/>
      <c r="C48" s="68"/>
      <c r="D48" s="67"/>
      <c r="E48" s="67"/>
      <c r="F48" s="26"/>
      <c r="G48" s="26"/>
      <c r="H48" s="26"/>
      <c r="I48" s="167"/>
      <c r="K48" s="1"/>
      <c r="L48" s="1"/>
    </row>
    <row r="49" spans="1:12" ht="20.25" customHeight="1">
      <c r="A49" s="9"/>
      <c r="B49" s="337" t="s">
        <v>54</v>
      </c>
      <c r="C49" s="337"/>
      <c r="D49" s="19"/>
      <c r="E49" s="19"/>
      <c r="F49" s="19"/>
      <c r="G49" s="19"/>
      <c r="H49" s="19"/>
      <c r="I49" s="165"/>
      <c r="K49" s="1"/>
      <c r="L49" s="1"/>
    </row>
    <row r="50" spans="1:12" ht="18.75" customHeight="1">
      <c r="A50" s="46"/>
      <c r="B50" s="183" t="s">
        <v>51</v>
      </c>
      <c r="C50" s="183"/>
      <c r="D50" s="34">
        <v>114860000</v>
      </c>
      <c r="E50" s="34">
        <v>0</v>
      </c>
      <c r="F50" s="34">
        <v>0</v>
      </c>
      <c r="G50" s="34">
        <f>E50+F50</f>
        <v>0</v>
      </c>
      <c r="H50" s="34">
        <f>D50-G50</f>
        <v>114860000</v>
      </c>
      <c r="I50" s="41">
        <f>G50/D50*100</f>
        <v>0</v>
      </c>
      <c r="K50" s="1"/>
      <c r="L50" s="1"/>
    </row>
    <row r="51" spans="1:12" ht="23.25" customHeight="1">
      <c r="A51" s="51"/>
      <c r="B51" s="154" t="s">
        <v>27</v>
      </c>
      <c r="C51" s="154"/>
      <c r="D51" s="310"/>
      <c r="E51" s="310"/>
      <c r="F51" s="310"/>
      <c r="G51" s="310"/>
      <c r="H51" s="310"/>
      <c r="I51" s="310"/>
      <c r="K51" s="1"/>
      <c r="L51" s="1"/>
    </row>
    <row r="52" spans="1:12" ht="15">
      <c r="A52" s="80">
        <v>140399</v>
      </c>
      <c r="B52" s="311" t="s">
        <v>48</v>
      </c>
      <c r="C52" s="312"/>
      <c r="D52" s="34">
        <v>86560000</v>
      </c>
      <c r="E52" s="34">
        <v>6490000</v>
      </c>
      <c r="F52" s="66">
        <f>50000+50000+70000+150000+160000+80000+90000+140000+220000+60000+20000</f>
        <v>1090000</v>
      </c>
      <c r="G52" s="34">
        <f aca="true" t="shared" si="6" ref="G52:G59">E52+F52</f>
        <v>7580000</v>
      </c>
      <c r="H52" s="34">
        <f aca="true" t="shared" si="7" ref="H52:H59">D52-G52</f>
        <v>78980000</v>
      </c>
      <c r="I52" s="41">
        <f>G52/D52*100</f>
        <v>8.756931608133087</v>
      </c>
      <c r="K52" s="1"/>
      <c r="L52" s="1"/>
    </row>
    <row r="53" spans="1:12" ht="15">
      <c r="A53" s="46"/>
      <c r="B53" s="183" t="s">
        <v>49</v>
      </c>
      <c r="C53" s="183"/>
      <c r="D53" s="34">
        <v>15700000</v>
      </c>
      <c r="E53" s="34">
        <v>0</v>
      </c>
      <c r="F53" s="66">
        <v>0</v>
      </c>
      <c r="G53" s="34">
        <f t="shared" si="6"/>
        <v>0</v>
      </c>
      <c r="H53" s="34">
        <f t="shared" si="7"/>
        <v>15700000</v>
      </c>
      <c r="I53" s="41">
        <f>G53/D53*100</f>
        <v>0</v>
      </c>
      <c r="K53" s="1"/>
      <c r="L53" s="1"/>
    </row>
    <row r="54" spans="1:12" ht="15">
      <c r="A54" s="46"/>
      <c r="B54" s="311" t="s">
        <v>50</v>
      </c>
      <c r="C54" s="312"/>
      <c r="D54" s="34">
        <v>13500000</v>
      </c>
      <c r="E54" s="34">
        <v>0</v>
      </c>
      <c r="F54" s="34">
        <v>0</v>
      </c>
      <c r="G54" s="34">
        <f t="shared" si="6"/>
        <v>0</v>
      </c>
      <c r="H54" s="34">
        <f t="shared" si="7"/>
        <v>13500000</v>
      </c>
      <c r="I54" s="41">
        <f>G54/D54*100</f>
        <v>0</v>
      </c>
      <c r="K54" s="1"/>
      <c r="L54" s="1"/>
    </row>
    <row r="55" spans="1:12" ht="15.75" thickBot="1">
      <c r="A55" s="51"/>
      <c r="B55" s="313" t="s">
        <v>3</v>
      </c>
      <c r="C55" s="313"/>
      <c r="D55" s="49">
        <f>SUM(D52:D54)</f>
        <v>115760000</v>
      </c>
      <c r="E55" s="49">
        <f>SUM(E52:E54)</f>
        <v>6490000</v>
      </c>
      <c r="F55" s="44">
        <f>SUM(F50:F54)</f>
        <v>1090000</v>
      </c>
      <c r="G55" s="44">
        <f t="shared" si="6"/>
        <v>7580000</v>
      </c>
      <c r="H55" s="44">
        <f t="shared" si="7"/>
        <v>108180000</v>
      </c>
      <c r="I55" s="45">
        <f>G55/D55*100</f>
        <v>6.548030407740152</v>
      </c>
      <c r="K55" s="1"/>
      <c r="L55" s="1"/>
    </row>
    <row r="56" spans="1:12" ht="15.75" thickTop="1">
      <c r="A56" s="9"/>
      <c r="B56" s="315"/>
      <c r="C56" s="315"/>
      <c r="D56" s="19"/>
      <c r="E56" s="19"/>
      <c r="F56" s="19"/>
      <c r="G56" s="26"/>
      <c r="H56" s="26"/>
      <c r="I56" s="165"/>
      <c r="K56" s="1"/>
      <c r="L56" s="1"/>
    </row>
    <row r="57" spans="1:12" ht="15">
      <c r="A57" s="9"/>
      <c r="B57" s="149" t="s">
        <v>28</v>
      </c>
      <c r="C57" s="149"/>
      <c r="D57" s="19"/>
      <c r="E57" s="19"/>
      <c r="F57" s="19"/>
      <c r="G57" s="26"/>
      <c r="H57" s="26"/>
      <c r="I57" s="165"/>
      <c r="K57" s="1"/>
      <c r="L57" s="1"/>
    </row>
    <row r="58" spans="1:12" ht="15">
      <c r="A58" s="46">
        <v>140384</v>
      </c>
      <c r="B58" s="314" t="s">
        <v>29</v>
      </c>
      <c r="C58" s="314"/>
      <c r="D58" s="34">
        <v>3000000</v>
      </c>
      <c r="E58" s="34">
        <v>0</v>
      </c>
      <c r="F58" s="56">
        <v>0</v>
      </c>
      <c r="G58" s="181">
        <f t="shared" si="6"/>
        <v>0</v>
      </c>
      <c r="H58" s="39">
        <f t="shared" si="7"/>
        <v>3000000</v>
      </c>
      <c r="I58" s="182">
        <f>G58/D58*100</f>
        <v>0</v>
      </c>
      <c r="K58" s="1"/>
      <c r="L58" s="1"/>
    </row>
    <row r="59" spans="1:12" ht="15.75" thickBot="1">
      <c r="A59" s="2"/>
      <c r="B59" s="316" t="s">
        <v>30</v>
      </c>
      <c r="C59" s="316"/>
      <c r="D59" s="49">
        <f>D16+D22+D31+D37+D42+D47+D58+D50+D55</f>
        <v>2249120000</v>
      </c>
      <c r="E59" s="49">
        <f>E16+E22+E31+E37+E42+E47+E58+E50+E55</f>
        <v>795415168.1</v>
      </c>
      <c r="F59" s="49">
        <f>F16+F22+F31+F37+F42+F47+F58+F50+F55</f>
        <v>78220497.87</v>
      </c>
      <c r="G59" s="44">
        <f t="shared" si="6"/>
        <v>873635665.97</v>
      </c>
      <c r="H59" s="44">
        <f t="shared" si="7"/>
        <v>1375484334.03</v>
      </c>
      <c r="I59" s="45">
        <f aca="true" t="shared" si="8" ref="I59:I70">G59/D59*100</f>
        <v>38.84344392340115</v>
      </c>
      <c r="K59" s="26"/>
      <c r="L59" s="1"/>
    </row>
    <row r="60" spans="1:12" ht="15.75" thickTop="1">
      <c r="A60" s="2"/>
      <c r="B60" s="315"/>
      <c r="C60" s="315"/>
      <c r="D60" s="19"/>
      <c r="E60" s="19"/>
      <c r="F60" s="19"/>
      <c r="G60" s="19"/>
      <c r="H60" s="19"/>
      <c r="I60" s="150"/>
      <c r="K60" s="163"/>
      <c r="L60" s="1"/>
    </row>
    <row r="61" spans="1:12" ht="15">
      <c r="A61" s="319" t="s">
        <v>79</v>
      </c>
      <c r="B61" s="319"/>
      <c r="C61" s="319"/>
      <c r="D61" s="168"/>
      <c r="E61" s="168"/>
      <c r="F61" s="168"/>
      <c r="G61" s="168"/>
      <c r="H61" s="168"/>
      <c r="I61" s="168"/>
      <c r="K61" s="163"/>
      <c r="L61" s="1"/>
    </row>
    <row r="62" spans="1:12" ht="15">
      <c r="A62" s="73">
        <v>210101</v>
      </c>
      <c r="B62" s="332" t="s">
        <v>1077</v>
      </c>
      <c r="C62" s="332"/>
      <c r="D62" s="34">
        <v>1827993600</v>
      </c>
      <c r="E62" s="34">
        <v>140964452.25</v>
      </c>
      <c r="F62" s="34">
        <f>198857.29+39231566.98+10280733.24</f>
        <v>49711157.51</v>
      </c>
      <c r="G62" s="34">
        <f>E62+F62</f>
        <v>190675609.76</v>
      </c>
      <c r="H62" s="34">
        <f>D62-G62</f>
        <v>1637317990.24</v>
      </c>
      <c r="I62" s="41">
        <f t="shared" si="8"/>
        <v>10.430868563215975</v>
      </c>
      <c r="K62" s="161"/>
      <c r="L62" s="1"/>
    </row>
    <row r="63" spans="1:12" ht="15">
      <c r="A63" s="73">
        <v>210101</v>
      </c>
      <c r="B63" s="332" t="s">
        <v>33</v>
      </c>
      <c r="C63" s="332"/>
      <c r="D63" s="34">
        <v>274512000</v>
      </c>
      <c r="E63" s="34">
        <v>22472717.4</v>
      </c>
      <c r="F63" s="34">
        <v>7053360.22</v>
      </c>
      <c r="G63" s="34">
        <f aca="true" t="shared" si="9" ref="G63:G69">E63+F63</f>
        <v>29526077.619999997</v>
      </c>
      <c r="H63" s="34">
        <f aca="true" t="shared" si="10" ref="H63:H70">D63-G63</f>
        <v>244985922.38</v>
      </c>
      <c r="I63" s="41">
        <f t="shared" si="8"/>
        <v>10.755842229119308</v>
      </c>
      <c r="K63" s="161"/>
      <c r="L63" s="1"/>
    </row>
    <row r="64" spans="1:12" ht="15">
      <c r="A64" s="73">
        <v>210101</v>
      </c>
      <c r="B64" s="333" t="s">
        <v>1078</v>
      </c>
      <c r="C64" s="334"/>
      <c r="D64" s="34">
        <v>535917600</v>
      </c>
      <c r="E64" s="34">
        <v>65297025.63</v>
      </c>
      <c r="F64" s="34">
        <v>21382742.7</v>
      </c>
      <c r="G64" s="34">
        <f t="shared" si="9"/>
        <v>86679768.33</v>
      </c>
      <c r="H64" s="34">
        <f t="shared" si="10"/>
        <v>449237831.67</v>
      </c>
      <c r="I64" s="41">
        <f t="shared" si="8"/>
        <v>16.174085032848335</v>
      </c>
      <c r="K64" s="1"/>
      <c r="L64" s="1"/>
    </row>
    <row r="65" spans="1:12" ht="15">
      <c r="A65" s="73">
        <v>210101</v>
      </c>
      <c r="B65" s="314" t="s">
        <v>52</v>
      </c>
      <c r="C65" s="314"/>
      <c r="D65" s="34">
        <v>7069695000</v>
      </c>
      <c r="E65" s="34">
        <v>1026112652.19</v>
      </c>
      <c r="F65" s="34">
        <f>3032111.55+328278558.56</f>
        <v>331310670.11</v>
      </c>
      <c r="G65" s="34">
        <f t="shared" si="9"/>
        <v>1357423322.3000002</v>
      </c>
      <c r="H65" s="34">
        <f t="shared" si="10"/>
        <v>5712271677.7</v>
      </c>
      <c r="I65" s="41">
        <f t="shared" si="8"/>
        <v>19.200592420182204</v>
      </c>
      <c r="K65" s="161"/>
      <c r="L65" s="1"/>
    </row>
    <row r="66" spans="1:12" ht="15">
      <c r="A66" s="73">
        <v>210101</v>
      </c>
      <c r="B66" s="314" t="s">
        <v>55</v>
      </c>
      <c r="C66" s="314"/>
      <c r="D66" s="34">
        <v>2759896200</v>
      </c>
      <c r="E66" s="34">
        <v>460503402.74</v>
      </c>
      <c r="F66" s="34">
        <v>155422928.38</v>
      </c>
      <c r="G66" s="34">
        <f t="shared" si="9"/>
        <v>615926331.12</v>
      </c>
      <c r="H66" s="34">
        <f t="shared" si="10"/>
        <v>2143969868.88</v>
      </c>
      <c r="I66" s="41">
        <f t="shared" si="8"/>
        <v>22.317010731055756</v>
      </c>
      <c r="K66" s="161"/>
      <c r="L66" s="1"/>
    </row>
    <row r="67" spans="1:12" ht="15">
      <c r="A67" s="73">
        <v>210101</v>
      </c>
      <c r="B67" s="314" t="s">
        <v>31</v>
      </c>
      <c r="C67" s="314"/>
      <c r="D67" s="34">
        <v>2400969600</v>
      </c>
      <c r="E67" s="34">
        <v>274687391.54</v>
      </c>
      <c r="F67" s="34">
        <f>14744400.14+275090.85+27795964.49+45652727.23+3024628.19</f>
        <v>91492810.89999999</v>
      </c>
      <c r="G67" s="34">
        <f t="shared" si="9"/>
        <v>366180202.44</v>
      </c>
      <c r="H67" s="34">
        <f t="shared" si="10"/>
        <v>2034789397.56</v>
      </c>
      <c r="I67" s="41">
        <f t="shared" si="8"/>
        <v>15.251346890856093</v>
      </c>
      <c r="K67" s="1"/>
      <c r="L67" s="1"/>
    </row>
    <row r="68" spans="1:12" ht="15">
      <c r="A68" s="73">
        <v>210101</v>
      </c>
      <c r="B68" s="314" t="s">
        <v>35</v>
      </c>
      <c r="C68" s="314"/>
      <c r="D68" s="34">
        <v>99128400</v>
      </c>
      <c r="E68" s="34">
        <v>5568509.38</v>
      </c>
      <c r="F68" s="34">
        <v>1752580.68</v>
      </c>
      <c r="G68" s="34">
        <f t="shared" si="9"/>
        <v>7321090.06</v>
      </c>
      <c r="H68" s="34">
        <f t="shared" si="10"/>
        <v>91807309.94</v>
      </c>
      <c r="I68" s="41">
        <f t="shared" si="8"/>
        <v>7.385461744565634</v>
      </c>
      <c r="K68" s="161"/>
      <c r="L68" s="1"/>
    </row>
    <row r="69" spans="1:12" ht="15">
      <c r="A69" s="73">
        <v>210101</v>
      </c>
      <c r="B69" s="314" t="s">
        <v>32</v>
      </c>
      <c r="C69" s="314"/>
      <c r="D69" s="34">
        <v>77556000</v>
      </c>
      <c r="E69" s="34">
        <v>6568545</v>
      </c>
      <c r="F69" s="34">
        <v>2189515</v>
      </c>
      <c r="G69" s="34">
        <f t="shared" si="9"/>
        <v>8758060</v>
      </c>
      <c r="H69" s="34">
        <f t="shared" si="10"/>
        <v>68797940</v>
      </c>
      <c r="I69" s="41">
        <f t="shared" si="8"/>
        <v>11.292562793336428</v>
      </c>
      <c r="K69" s="1"/>
      <c r="L69" s="1"/>
    </row>
    <row r="70" spans="1:12" ht="15.75" thickBot="1">
      <c r="A70" s="148"/>
      <c r="B70" s="335" t="s">
        <v>1079</v>
      </c>
      <c r="C70" s="336"/>
      <c r="D70" s="44">
        <f>SUM(D62:D69)</f>
        <v>15045668400</v>
      </c>
      <c r="E70" s="44">
        <f>SUM(E62:E69)</f>
        <v>2002174696.13</v>
      </c>
      <c r="F70" s="44">
        <f>SUM(F62:F69)</f>
        <v>660315765.5</v>
      </c>
      <c r="G70" s="44">
        <f>SUM(G62:G69)</f>
        <v>2662490461.63</v>
      </c>
      <c r="H70" s="44">
        <f t="shared" si="10"/>
        <v>12383177938.369999</v>
      </c>
      <c r="I70" s="45">
        <f t="shared" si="8"/>
        <v>17.69605969536056</v>
      </c>
      <c r="K70" s="1"/>
      <c r="L70" s="1"/>
    </row>
    <row r="71" spans="1:12" ht="15.75" thickTop="1">
      <c r="A71" s="72"/>
      <c r="B71" s="318" t="s">
        <v>44</v>
      </c>
      <c r="C71" s="318"/>
      <c r="D71" s="26"/>
      <c r="E71" s="26"/>
      <c r="F71" s="26"/>
      <c r="G71" s="21"/>
      <c r="H71" s="21"/>
      <c r="I71" s="166"/>
      <c r="K71" s="1"/>
      <c r="L71" s="1"/>
    </row>
    <row r="72" spans="1:12" ht="15">
      <c r="A72" s="40">
        <v>130201</v>
      </c>
      <c r="B72" s="332" t="s">
        <v>1074</v>
      </c>
      <c r="C72" s="332"/>
      <c r="D72" s="34">
        <v>84419800</v>
      </c>
      <c r="E72" s="34">
        <v>58847000</v>
      </c>
      <c r="F72" s="34">
        <v>0</v>
      </c>
      <c r="G72" s="34">
        <f>E72+F72</f>
        <v>58847000</v>
      </c>
      <c r="H72" s="34">
        <f>D72-G72</f>
        <v>25572800</v>
      </c>
      <c r="I72" s="41">
        <f>G72/D72*100</f>
        <v>69.70758044913634</v>
      </c>
      <c r="K72" s="161"/>
      <c r="L72" s="1"/>
    </row>
    <row r="73" spans="1:12" ht="15">
      <c r="A73" s="33">
        <v>130202</v>
      </c>
      <c r="B73" s="314" t="s">
        <v>31</v>
      </c>
      <c r="C73" s="314"/>
      <c r="D73" s="34">
        <v>211311000</v>
      </c>
      <c r="E73" s="34">
        <v>24611000</v>
      </c>
      <c r="F73" s="34">
        <v>0</v>
      </c>
      <c r="G73" s="34">
        <f aca="true" t="shared" si="11" ref="G73:G95">E73+F73</f>
        <v>24611000</v>
      </c>
      <c r="H73" s="34">
        <f aca="true" t="shared" si="12" ref="H73:H95">D73-G73</f>
        <v>186700000</v>
      </c>
      <c r="I73" s="41">
        <f aca="true" t="shared" si="13" ref="I73:I95">G73/D73*100</f>
        <v>11.64681441098665</v>
      </c>
      <c r="K73" s="1"/>
      <c r="L73" s="1"/>
    </row>
    <row r="74" spans="1:12" ht="15">
      <c r="A74" s="33">
        <v>130202</v>
      </c>
      <c r="B74" s="314" t="s">
        <v>32</v>
      </c>
      <c r="C74" s="314"/>
      <c r="D74" s="34">
        <v>15659000</v>
      </c>
      <c r="E74" s="34">
        <v>652500</v>
      </c>
      <c r="F74" s="34">
        <v>0</v>
      </c>
      <c r="G74" s="34">
        <f t="shared" si="11"/>
        <v>652500</v>
      </c>
      <c r="H74" s="34">
        <f t="shared" si="12"/>
        <v>15006500</v>
      </c>
      <c r="I74" s="41">
        <f t="shared" si="13"/>
        <v>4.166932754326585</v>
      </c>
      <c r="K74" s="1"/>
      <c r="L74" s="1"/>
    </row>
    <row r="75" spans="1:12" ht="15">
      <c r="A75" s="33">
        <v>130202</v>
      </c>
      <c r="B75" s="314" t="s">
        <v>1075</v>
      </c>
      <c r="C75" s="314"/>
      <c r="D75" s="34">
        <v>25115000</v>
      </c>
      <c r="E75" s="34">
        <v>2093000</v>
      </c>
      <c r="F75" s="34">
        <v>0</v>
      </c>
      <c r="G75" s="34">
        <f t="shared" si="11"/>
        <v>2093000</v>
      </c>
      <c r="H75" s="34">
        <f t="shared" si="12"/>
        <v>23022000</v>
      </c>
      <c r="I75" s="41">
        <f t="shared" si="13"/>
        <v>8.33366514035437</v>
      </c>
      <c r="K75" s="1"/>
      <c r="L75" s="1"/>
    </row>
    <row r="76" spans="1:12" ht="15">
      <c r="A76" s="33">
        <v>130202</v>
      </c>
      <c r="B76" s="314" t="s">
        <v>1076</v>
      </c>
      <c r="C76" s="314"/>
      <c r="D76" s="34">
        <v>12000000</v>
      </c>
      <c r="E76" s="34">
        <v>0</v>
      </c>
      <c r="F76" s="34">
        <v>0</v>
      </c>
      <c r="G76" s="34">
        <f t="shared" si="11"/>
        <v>0</v>
      </c>
      <c r="H76" s="34">
        <f t="shared" si="12"/>
        <v>12000000</v>
      </c>
      <c r="I76" s="41">
        <v>0</v>
      </c>
      <c r="K76" s="1"/>
      <c r="L76" s="1"/>
    </row>
    <row r="77" spans="1:12" ht="15">
      <c r="A77" s="33">
        <v>130202</v>
      </c>
      <c r="B77" s="314" t="s">
        <v>52</v>
      </c>
      <c r="C77" s="314"/>
      <c r="D77" s="34">
        <v>257208000</v>
      </c>
      <c r="E77" s="34">
        <v>148782000</v>
      </c>
      <c r="F77" s="34">
        <v>0</v>
      </c>
      <c r="G77" s="34">
        <f t="shared" si="11"/>
        <v>148782000</v>
      </c>
      <c r="H77" s="34">
        <f t="shared" si="12"/>
        <v>108426000</v>
      </c>
      <c r="I77" s="41">
        <f t="shared" si="13"/>
        <v>57.84501259680881</v>
      </c>
      <c r="K77" s="161"/>
      <c r="L77" s="1"/>
    </row>
    <row r="78" spans="1:12" ht="15">
      <c r="A78" s="33"/>
      <c r="B78" s="314" t="s">
        <v>34</v>
      </c>
      <c r="C78" s="314"/>
      <c r="D78" s="34">
        <v>212491000</v>
      </c>
      <c r="E78" s="34">
        <v>11120000</v>
      </c>
      <c r="F78" s="34">
        <v>0</v>
      </c>
      <c r="G78" s="34">
        <f t="shared" si="11"/>
        <v>11120000</v>
      </c>
      <c r="H78" s="34">
        <f t="shared" si="12"/>
        <v>201371000</v>
      </c>
      <c r="I78" s="41">
        <f t="shared" si="13"/>
        <v>5.233162816307514</v>
      </c>
      <c r="K78" s="161"/>
      <c r="L78" s="1"/>
    </row>
    <row r="79" spans="1:12" ht="15">
      <c r="A79" s="33"/>
      <c r="B79" s="314" t="s">
        <v>1080</v>
      </c>
      <c r="C79" s="314"/>
      <c r="D79" s="34">
        <v>106123000</v>
      </c>
      <c r="E79" s="34">
        <v>25524000</v>
      </c>
      <c r="F79" s="34">
        <v>0</v>
      </c>
      <c r="G79" s="34">
        <f t="shared" si="11"/>
        <v>25524000</v>
      </c>
      <c r="H79" s="34">
        <f t="shared" si="12"/>
        <v>80599000</v>
      </c>
      <c r="I79" s="41">
        <f t="shared" si="13"/>
        <v>24.051336656521208</v>
      </c>
      <c r="K79" s="161"/>
      <c r="L79" s="1"/>
    </row>
    <row r="80" spans="1:12" ht="15">
      <c r="A80" s="33"/>
      <c r="B80" s="314" t="s">
        <v>1083</v>
      </c>
      <c r="C80" s="314"/>
      <c r="D80" s="34">
        <v>89808000</v>
      </c>
      <c r="E80" s="34">
        <v>0</v>
      </c>
      <c r="F80" s="34">
        <v>0</v>
      </c>
      <c r="G80" s="34">
        <f t="shared" si="11"/>
        <v>0</v>
      </c>
      <c r="H80" s="34">
        <f t="shared" si="12"/>
        <v>89808000</v>
      </c>
      <c r="I80" s="41">
        <f t="shared" si="13"/>
        <v>0</v>
      </c>
      <c r="K80" s="161"/>
      <c r="L80" s="1"/>
    </row>
    <row r="81" spans="1:12" ht="15">
      <c r="A81" s="33">
        <v>130202</v>
      </c>
      <c r="B81" s="314" t="s">
        <v>55</v>
      </c>
      <c r="C81" s="314"/>
      <c r="D81" s="34">
        <v>117496000</v>
      </c>
      <c r="E81" s="34">
        <v>9638000</v>
      </c>
      <c r="F81" s="34">
        <v>61003000</v>
      </c>
      <c r="G81" s="34">
        <f t="shared" si="11"/>
        <v>70641000</v>
      </c>
      <c r="H81" s="34">
        <f t="shared" si="12"/>
        <v>46855000</v>
      </c>
      <c r="I81" s="41">
        <f t="shared" si="13"/>
        <v>60.12204670797304</v>
      </c>
      <c r="K81" s="161"/>
      <c r="L81" s="1"/>
    </row>
    <row r="82" spans="1:12" ht="15">
      <c r="A82" s="33"/>
      <c r="B82" s="314" t="s">
        <v>56</v>
      </c>
      <c r="C82" s="314"/>
      <c r="D82" s="34">
        <v>74888000</v>
      </c>
      <c r="E82" s="34">
        <v>6255000</v>
      </c>
      <c r="F82" s="34">
        <v>0</v>
      </c>
      <c r="G82" s="34">
        <f t="shared" si="11"/>
        <v>6255000</v>
      </c>
      <c r="H82" s="34">
        <f t="shared" si="12"/>
        <v>68633000</v>
      </c>
      <c r="I82" s="41">
        <f t="shared" si="13"/>
        <v>8.35247302638607</v>
      </c>
      <c r="K82" s="161"/>
      <c r="L82" s="1"/>
    </row>
    <row r="83" spans="1:12" ht="15">
      <c r="A83" s="33"/>
      <c r="B83" s="314" t="s">
        <v>1081</v>
      </c>
      <c r="C83" s="314"/>
      <c r="D83" s="34">
        <v>12350000</v>
      </c>
      <c r="E83" s="34">
        <v>3188000</v>
      </c>
      <c r="F83" s="34">
        <v>0</v>
      </c>
      <c r="G83" s="34">
        <f t="shared" si="11"/>
        <v>3188000</v>
      </c>
      <c r="H83" s="34">
        <f t="shared" si="12"/>
        <v>9162000</v>
      </c>
      <c r="I83" s="41">
        <f t="shared" si="13"/>
        <v>25.81376518218623</v>
      </c>
      <c r="K83" s="161"/>
      <c r="L83" s="1"/>
    </row>
    <row r="84" spans="1:12" ht="15">
      <c r="A84" s="33"/>
      <c r="B84" s="314" t="s">
        <v>1082</v>
      </c>
      <c r="C84" s="314"/>
      <c r="D84" s="34">
        <v>6264000</v>
      </c>
      <c r="E84" s="34">
        <v>0</v>
      </c>
      <c r="F84" s="34">
        <v>0</v>
      </c>
      <c r="G84" s="34">
        <f t="shared" si="11"/>
        <v>0</v>
      </c>
      <c r="H84" s="34">
        <f t="shared" si="12"/>
        <v>6264000</v>
      </c>
      <c r="I84" s="41">
        <f t="shared" si="13"/>
        <v>0</v>
      </c>
      <c r="K84" s="161"/>
      <c r="L84" s="1"/>
    </row>
    <row r="85" spans="1:12" ht="15">
      <c r="A85" s="33">
        <v>130202</v>
      </c>
      <c r="B85" s="314" t="s">
        <v>35</v>
      </c>
      <c r="C85" s="314"/>
      <c r="D85" s="34">
        <v>61721000</v>
      </c>
      <c r="E85" s="34">
        <v>2571500</v>
      </c>
      <c r="F85" s="34">
        <v>0</v>
      </c>
      <c r="G85" s="34">
        <f t="shared" si="11"/>
        <v>2571500</v>
      </c>
      <c r="H85" s="34">
        <f t="shared" si="12"/>
        <v>59149500</v>
      </c>
      <c r="I85" s="41">
        <f t="shared" si="13"/>
        <v>4.166329126229322</v>
      </c>
      <c r="K85" s="1"/>
      <c r="L85" s="1"/>
    </row>
    <row r="86" spans="1:12" ht="15">
      <c r="A86" s="33">
        <v>130202</v>
      </c>
      <c r="B86" s="311" t="s">
        <v>71</v>
      </c>
      <c r="C86" s="312"/>
      <c r="D86" s="71">
        <v>18000000</v>
      </c>
      <c r="E86" s="34">
        <v>0</v>
      </c>
      <c r="F86" s="34">
        <v>0</v>
      </c>
      <c r="G86" s="34">
        <f t="shared" si="11"/>
        <v>0</v>
      </c>
      <c r="H86" s="34">
        <f t="shared" si="12"/>
        <v>18000000</v>
      </c>
      <c r="I86" s="41">
        <f t="shared" si="13"/>
        <v>0</v>
      </c>
      <c r="K86" s="161"/>
      <c r="L86" s="1"/>
    </row>
    <row r="87" spans="1:12" ht="15">
      <c r="A87" s="33">
        <v>130202</v>
      </c>
      <c r="B87" s="311" t="s">
        <v>72</v>
      </c>
      <c r="C87" s="312"/>
      <c r="D87" s="71">
        <v>18000000</v>
      </c>
      <c r="E87" s="34">
        <v>0</v>
      </c>
      <c r="F87" s="34">
        <v>0</v>
      </c>
      <c r="G87" s="34">
        <f t="shared" si="11"/>
        <v>0</v>
      </c>
      <c r="H87" s="34">
        <f t="shared" si="12"/>
        <v>18000000</v>
      </c>
      <c r="I87" s="41">
        <f t="shared" si="13"/>
        <v>0</v>
      </c>
      <c r="K87" s="161"/>
      <c r="L87" s="1"/>
    </row>
    <row r="88" spans="1:12" ht="15">
      <c r="A88" s="33">
        <v>130202</v>
      </c>
      <c r="B88" s="311" t="s">
        <v>73</v>
      </c>
      <c r="C88" s="312"/>
      <c r="D88" s="71">
        <v>12000000</v>
      </c>
      <c r="E88" s="34">
        <v>0</v>
      </c>
      <c r="F88" s="34">
        <v>0</v>
      </c>
      <c r="G88" s="34">
        <f t="shared" si="11"/>
        <v>0</v>
      </c>
      <c r="H88" s="34">
        <f t="shared" si="12"/>
        <v>12000000</v>
      </c>
      <c r="I88" s="41">
        <f t="shared" si="13"/>
        <v>0</v>
      </c>
      <c r="K88" s="1"/>
      <c r="L88" s="1"/>
    </row>
    <row r="89" spans="1:12" ht="15">
      <c r="A89" s="33">
        <v>130202</v>
      </c>
      <c r="B89" s="311" t="s">
        <v>75</v>
      </c>
      <c r="C89" s="312"/>
      <c r="D89" s="71">
        <v>12000000</v>
      </c>
      <c r="E89" s="34">
        <v>0</v>
      </c>
      <c r="F89" s="34">
        <v>0</v>
      </c>
      <c r="G89" s="34">
        <f t="shared" si="11"/>
        <v>0</v>
      </c>
      <c r="H89" s="34">
        <f t="shared" si="12"/>
        <v>12000000</v>
      </c>
      <c r="I89" s="41">
        <f t="shared" si="13"/>
        <v>0</v>
      </c>
      <c r="K89" s="161"/>
      <c r="L89" s="1"/>
    </row>
    <row r="90" spans="1:12" ht="15">
      <c r="A90" s="33">
        <v>130202</v>
      </c>
      <c r="B90" s="311" t="s">
        <v>76</v>
      </c>
      <c r="C90" s="312"/>
      <c r="D90" s="71">
        <v>12000000</v>
      </c>
      <c r="E90" s="34">
        <v>0</v>
      </c>
      <c r="F90" s="34">
        <v>0</v>
      </c>
      <c r="G90" s="34">
        <f t="shared" si="11"/>
        <v>0</v>
      </c>
      <c r="H90" s="34">
        <f t="shared" si="12"/>
        <v>12000000</v>
      </c>
      <c r="I90" s="41">
        <f t="shared" si="13"/>
        <v>0</v>
      </c>
      <c r="K90" s="1"/>
      <c r="L90" s="1"/>
    </row>
    <row r="91" spans="1:12" ht="15">
      <c r="A91" s="33">
        <v>130202</v>
      </c>
      <c r="B91" s="311" t="s">
        <v>78</v>
      </c>
      <c r="C91" s="312"/>
      <c r="D91" s="71">
        <v>12000000</v>
      </c>
      <c r="E91" s="34">
        <v>0</v>
      </c>
      <c r="F91" s="34">
        <v>0</v>
      </c>
      <c r="G91" s="34">
        <f t="shared" si="11"/>
        <v>0</v>
      </c>
      <c r="H91" s="34">
        <f t="shared" si="12"/>
        <v>12000000</v>
      </c>
      <c r="I91" s="41">
        <f t="shared" si="13"/>
        <v>0</v>
      </c>
      <c r="K91" s="161"/>
      <c r="L91" s="1"/>
    </row>
    <row r="92" spans="1:12" ht="15">
      <c r="A92" s="33">
        <v>130202</v>
      </c>
      <c r="B92" s="311" t="s">
        <v>77</v>
      </c>
      <c r="C92" s="312"/>
      <c r="D92" s="71">
        <v>12000000</v>
      </c>
      <c r="E92" s="34">
        <v>0</v>
      </c>
      <c r="F92" s="34">
        <v>0</v>
      </c>
      <c r="G92" s="34">
        <f t="shared" si="11"/>
        <v>0</v>
      </c>
      <c r="H92" s="34">
        <f t="shared" si="12"/>
        <v>12000000</v>
      </c>
      <c r="I92" s="41">
        <f t="shared" si="13"/>
        <v>0</v>
      </c>
      <c r="K92" s="163"/>
      <c r="L92" s="1"/>
    </row>
    <row r="93" spans="1:12" ht="15">
      <c r="A93" s="33">
        <v>130202</v>
      </c>
      <c r="B93" s="311" t="s">
        <v>74</v>
      </c>
      <c r="C93" s="312"/>
      <c r="D93" s="71">
        <v>12000000</v>
      </c>
      <c r="E93" s="34">
        <v>0</v>
      </c>
      <c r="F93" s="34">
        <v>0</v>
      </c>
      <c r="G93" s="34">
        <f>E93+F93</f>
        <v>0</v>
      </c>
      <c r="H93" s="34">
        <f>D93-G93</f>
        <v>12000000</v>
      </c>
      <c r="I93" s="41">
        <f>G93/D93*100</f>
        <v>0</v>
      </c>
      <c r="K93" s="163"/>
      <c r="L93" s="1"/>
    </row>
    <row r="94" spans="1:12" ht="17.25" customHeight="1">
      <c r="A94" s="33"/>
      <c r="B94" s="339" t="s">
        <v>1087</v>
      </c>
      <c r="C94" s="340"/>
      <c r="D94" s="58">
        <v>0</v>
      </c>
      <c r="E94" s="34">
        <v>278850000</v>
      </c>
      <c r="F94" s="34">
        <v>0</v>
      </c>
      <c r="G94" s="34">
        <f>E94+F94</f>
        <v>278850000</v>
      </c>
      <c r="H94" s="34">
        <v>0</v>
      </c>
      <c r="I94" s="158">
        <v>0</v>
      </c>
      <c r="K94" s="163"/>
      <c r="L94" s="1"/>
    </row>
    <row r="95" spans="1:12" ht="15.75" thickBot="1">
      <c r="A95" s="50"/>
      <c r="B95" s="328" t="s">
        <v>36</v>
      </c>
      <c r="C95" s="328"/>
      <c r="D95" s="49">
        <f>SUM(D72:D93)</f>
        <v>1394853800</v>
      </c>
      <c r="E95" s="49">
        <f>SUM(E72:E94)</f>
        <v>572132000</v>
      </c>
      <c r="F95" s="49">
        <f>SUM(F72:F94)</f>
        <v>61003000</v>
      </c>
      <c r="G95" s="44">
        <f t="shared" si="11"/>
        <v>633135000</v>
      </c>
      <c r="H95" s="44">
        <f t="shared" si="12"/>
        <v>761718800</v>
      </c>
      <c r="I95" s="45">
        <f t="shared" si="13"/>
        <v>45.390778589125254</v>
      </c>
      <c r="K95" s="161"/>
      <c r="L95" s="1"/>
    </row>
    <row r="96" spans="1:11" s="1" customFormat="1" ht="15.75" thickTop="1">
      <c r="A96" s="9"/>
      <c r="B96" s="70"/>
      <c r="C96" s="70"/>
      <c r="D96" s="67"/>
      <c r="E96" s="67"/>
      <c r="F96" s="26" t="s">
        <v>66</v>
      </c>
      <c r="G96" s="169"/>
      <c r="H96" s="67"/>
      <c r="I96" s="170"/>
      <c r="K96" s="161"/>
    </row>
    <row r="97" spans="1:12" ht="15">
      <c r="A97" s="2"/>
      <c r="B97" s="329" t="s">
        <v>37</v>
      </c>
      <c r="C97" s="329"/>
      <c r="D97" s="19"/>
      <c r="E97" s="19"/>
      <c r="F97" s="19"/>
      <c r="G97" s="19"/>
      <c r="H97" s="19"/>
      <c r="I97" s="171"/>
      <c r="K97" s="163"/>
      <c r="L97" s="1"/>
    </row>
    <row r="98" spans="1:12" ht="15">
      <c r="A98" s="33">
        <v>130101</v>
      </c>
      <c r="B98" s="314" t="s">
        <v>1072</v>
      </c>
      <c r="C98" s="314"/>
      <c r="D98" s="34">
        <v>1936396941.38</v>
      </c>
      <c r="E98" s="34">
        <v>0</v>
      </c>
      <c r="F98" s="34">
        <v>0</v>
      </c>
      <c r="G98" s="34">
        <f>E98+F98</f>
        <v>0</v>
      </c>
      <c r="H98" s="34">
        <f aca="true" t="shared" si="14" ref="H98:H107">D98-G98</f>
        <v>1936396941.38</v>
      </c>
      <c r="I98" s="158">
        <f aca="true" t="shared" si="15" ref="I98:I107">G98/D98*100</f>
        <v>0</v>
      </c>
      <c r="K98" s="1"/>
      <c r="L98" s="1"/>
    </row>
    <row r="99" spans="1:12" ht="15">
      <c r="A99" s="33">
        <v>130103</v>
      </c>
      <c r="B99" s="314" t="s">
        <v>38</v>
      </c>
      <c r="C99" s="314"/>
      <c r="D99" s="34">
        <v>32713000</v>
      </c>
      <c r="E99" s="34">
        <v>0</v>
      </c>
      <c r="F99" s="35">
        <v>183808704</v>
      </c>
      <c r="G99" s="34">
        <f aca="true" t="shared" si="16" ref="G99:G107">E99+F99</f>
        <v>183808704</v>
      </c>
      <c r="H99" s="34">
        <f t="shared" si="14"/>
        <v>-151095704</v>
      </c>
      <c r="I99" s="158">
        <f t="shared" si="15"/>
        <v>561.8827499770733</v>
      </c>
      <c r="K99" s="163"/>
      <c r="L99" s="1"/>
    </row>
    <row r="100" spans="1:12" ht="15">
      <c r="A100" s="33">
        <v>130113</v>
      </c>
      <c r="B100" s="314" t="s">
        <v>39</v>
      </c>
      <c r="C100" s="314"/>
      <c r="D100" s="34">
        <v>906551095</v>
      </c>
      <c r="E100" s="34">
        <v>86455910.64</v>
      </c>
      <c r="F100" s="34">
        <v>62460397.88</v>
      </c>
      <c r="G100" s="34">
        <f t="shared" si="16"/>
        <v>148916308.52</v>
      </c>
      <c r="H100" s="34">
        <f t="shared" si="14"/>
        <v>757634786.48</v>
      </c>
      <c r="I100" s="158">
        <f t="shared" si="15"/>
        <v>16.426686740696066</v>
      </c>
      <c r="K100" s="163"/>
      <c r="L100" s="1"/>
    </row>
    <row r="101" spans="1:12" ht="15">
      <c r="A101" s="33">
        <v>130114</v>
      </c>
      <c r="B101" s="314" t="s">
        <v>40</v>
      </c>
      <c r="C101" s="314"/>
      <c r="D101" s="34">
        <v>215780500</v>
      </c>
      <c r="E101" s="34">
        <v>0</v>
      </c>
      <c r="F101" s="34">
        <v>0</v>
      </c>
      <c r="G101" s="34">
        <f t="shared" si="16"/>
        <v>0</v>
      </c>
      <c r="H101" s="34">
        <f t="shared" si="14"/>
        <v>215780500</v>
      </c>
      <c r="I101" s="158">
        <f t="shared" si="15"/>
        <v>0</v>
      </c>
      <c r="K101" s="163"/>
      <c r="L101" s="1"/>
    </row>
    <row r="102" spans="1:12" ht="15">
      <c r="A102" s="33">
        <v>130120</v>
      </c>
      <c r="B102" s="314" t="s">
        <v>1073</v>
      </c>
      <c r="C102" s="314"/>
      <c r="D102" s="34">
        <v>585700000</v>
      </c>
      <c r="E102" s="34">
        <v>0</v>
      </c>
      <c r="F102" s="37">
        <v>0</v>
      </c>
      <c r="G102" s="34">
        <f t="shared" si="16"/>
        <v>0</v>
      </c>
      <c r="H102" s="34">
        <f t="shared" si="14"/>
        <v>585700000</v>
      </c>
      <c r="I102" s="158">
        <f t="shared" si="15"/>
        <v>0</v>
      </c>
      <c r="K102" s="163"/>
      <c r="L102" s="1"/>
    </row>
    <row r="103" spans="1:12" ht="15">
      <c r="A103" s="33"/>
      <c r="B103" s="331" t="s">
        <v>80</v>
      </c>
      <c r="C103" s="331"/>
      <c r="D103" s="34">
        <v>16840000</v>
      </c>
      <c r="E103" s="34">
        <v>0</v>
      </c>
      <c r="F103" s="35">
        <v>0</v>
      </c>
      <c r="G103" s="34">
        <f t="shared" si="16"/>
        <v>0</v>
      </c>
      <c r="H103" s="34">
        <f t="shared" si="14"/>
        <v>16840000</v>
      </c>
      <c r="I103" s="158">
        <f t="shared" si="15"/>
        <v>0</v>
      </c>
      <c r="K103" s="163"/>
      <c r="L103" s="1"/>
    </row>
    <row r="104" spans="1:12" ht="15">
      <c r="A104" s="33">
        <v>130123</v>
      </c>
      <c r="B104" s="314" t="s">
        <v>41</v>
      </c>
      <c r="C104" s="314"/>
      <c r="D104" s="34">
        <v>348117000</v>
      </c>
      <c r="E104" s="34">
        <v>0</v>
      </c>
      <c r="F104" s="34">
        <v>0</v>
      </c>
      <c r="G104" s="34">
        <f>E104+F104</f>
        <v>0</v>
      </c>
      <c r="H104" s="34">
        <f>D104-G104</f>
        <v>348117000</v>
      </c>
      <c r="I104" s="41">
        <f>G104/D104*100</f>
        <v>0</v>
      </c>
      <c r="K104" s="1"/>
      <c r="L104" s="1"/>
    </row>
    <row r="105" spans="1:12" ht="17.25" customHeight="1">
      <c r="A105" s="33"/>
      <c r="B105" s="341" t="s">
        <v>1086</v>
      </c>
      <c r="C105" s="342"/>
      <c r="D105" s="58">
        <v>0</v>
      </c>
      <c r="E105" s="34">
        <v>572338708.4</v>
      </c>
      <c r="F105" s="34">
        <v>0</v>
      </c>
      <c r="G105" s="34">
        <f>E105+F105</f>
        <v>572338708.4</v>
      </c>
      <c r="H105" s="34">
        <v>0</v>
      </c>
      <c r="I105" s="158">
        <v>0</v>
      </c>
      <c r="K105" s="163"/>
      <c r="L105" s="1"/>
    </row>
    <row r="106" spans="1:9" ht="15">
      <c r="A106" s="27"/>
      <c r="B106" s="330" t="s">
        <v>42</v>
      </c>
      <c r="C106" s="330"/>
      <c r="D106" s="174">
        <f>SUM(D98:D105)</f>
        <v>4042098536.38</v>
      </c>
      <c r="E106" s="172">
        <f>SUM(E98:E105)</f>
        <v>658794619.04</v>
      </c>
      <c r="F106" s="172">
        <f>SUM(F98:F105)</f>
        <v>246269101.88</v>
      </c>
      <c r="G106" s="39">
        <f>E106+F106</f>
        <v>905063720.92</v>
      </c>
      <c r="H106" s="39">
        <f t="shared" si="14"/>
        <v>3137034815.46</v>
      </c>
      <c r="I106" s="156">
        <f t="shared" si="15"/>
        <v>22.390936608154828</v>
      </c>
    </row>
    <row r="107" spans="1:9" ht="15.75" thickBot="1">
      <c r="A107" s="2"/>
      <c r="B107" s="328" t="s">
        <v>43</v>
      </c>
      <c r="C107" s="328"/>
      <c r="D107" s="173">
        <f>D59+D70+D95+D106</f>
        <v>22731740736.38</v>
      </c>
      <c r="E107" s="173">
        <f>E59+E70+E95+E106</f>
        <v>4028516483.27</v>
      </c>
      <c r="F107" s="173">
        <f>F59+F70+F95+F106</f>
        <v>1045808365.25</v>
      </c>
      <c r="G107" s="44">
        <f t="shared" si="16"/>
        <v>5074324848.52</v>
      </c>
      <c r="H107" s="44">
        <f t="shared" si="14"/>
        <v>17657415887.86</v>
      </c>
      <c r="I107" s="157">
        <f t="shared" si="15"/>
        <v>22.322640871928577</v>
      </c>
    </row>
    <row r="108" spans="1:9" ht="15.75" thickTop="1">
      <c r="A108" s="2"/>
      <c r="B108" s="16"/>
      <c r="C108" s="16"/>
      <c r="D108" s="14"/>
      <c r="E108" s="14"/>
      <c r="F108" s="14"/>
      <c r="G108" s="14"/>
      <c r="H108" s="14"/>
      <c r="I108" s="15"/>
    </row>
    <row r="109" spans="1:9" ht="15">
      <c r="A109" s="2"/>
      <c r="B109" s="16"/>
      <c r="C109" s="16"/>
      <c r="D109" s="14"/>
      <c r="E109" s="14"/>
      <c r="F109" s="14"/>
      <c r="G109" s="14"/>
      <c r="H109" s="14"/>
      <c r="I109" s="15"/>
    </row>
    <row r="110" spans="1:9" ht="15">
      <c r="A110" s="2"/>
      <c r="B110" s="16"/>
      <c r="C110" s="16"/>
      <c r="D110" s="14"/>
      <c r="E110" s="14"/>
      <c r="F110" s="14"/>
      <c r="G110" s="14"/>
      <c r="H110" s="14"/>
      <c r="I110" s="15"/>
    </row>
    <row r="111" spans="1:9" ht="15">
      <c r="A111" s="2"/>
      <c r="B111" s="16"/>
      <c r="C111" s="16"/>
      <c r="D111" s="14"/>
      <c r="F111" s="14"/>
      <c r="G111" s="14"/>
      <c r="H111" s="14"/>
      <c r="I111" s="15"/>
    </row>
    <row r="112" spans="2:9" ht="15">
      <c r="B112" s="16"/>
      <c r="C112" s="16" t="s">
        <v>53</v>
      </c>
      <c r="E112" s="147"/>
      <c r="F112" s="14"/>
      <c r="G112" s="14"/>
      <c r="H112" s="14"/>
      <c r="I112" s="15"/>
    </row>
    <row r="113" spans="2:8" ht="15">
      <c r="B113" s="69"/>
      <c r="C113" s="69"/>
      <c r="E113" s="147"/>
      <c r="F113" s="11"/>
      <c r="G113" s="11"/>
      <c r="H113" s="11"/>
    </row>
    <row r="114" spans="2:8" ht="15">
      <c r="B114" s="69"/>
      <c r="C114" s="69"/>
      <c r="D114" s="11"/>
      <c r="E114" s="11"/>
      <c r="F114" s="11"/>
      <c r="G114" s="11"/>
      <c r="H114" s="11"/>
    </row>
    <row r="115" spans="2:8" ht="15">
      <c r="B115" s="69"/>
      <c r="C115" s="69"/>
      <c r="D115" s="11"/>
      <c r="E115" s="11"/>
      <c r="F115" s="11"/>
      <c r="G115" s="11"/>
      <c r="H115" s="11"/>
    </row>
    <row r="116" spans="2:8" ht="15">
      <c r="B116" s="69"/>
      <c r="C116" s="69"/>
      <c r="D116" s="11"/>
      <c r="E116" s="11"/>
      <c r="F116" s="11"/>
      <c r="G116" s="11"/>
      <c r="H116" s="11"/>
    </row>
    <row r="117" spans="2:8" ht="15">
      <c r="B117" s="69"/>
      <c r="C117" s="69"/>
      <c r="D117" s="11"/>
      <c r="E117" s="11"/>
      <c r="F117" s="11"/>
      <c r="G117" s="11"/>
      <c r="H117" s="11"/>
    </row>
    <row r="118" spans="2:8" ht="15">
      <c r="B118" s="69"/>
      <c r="C118" s="69"/>
      <c r="D118" s="11"/>
      <c r="E118" s="11"/>
      <c r="F118" s="11"/>
      <c r="G118" s="11"/>
      <c r="H118" s="11"/>
    </row>
    <row r="119" spans="2:8" ht="15">
      <c r="B119" s="69"/>
      <c r="C119" s="69"/>
      <c r="D119" s="11"/>
      <c r="E119" s="11"/>
      <c r="F119" s="11"/>
      <c r="G119" s="11"/>
      <c r="H119" s="11"/>
    </row>
    <row r="120" spans="2:8" ht="15">
      <c r="B120" s="69"/>
      <c r="C120" s="69"/>
      <c r="D120" s="11"/>
      <c r="E120" s="11"/>
      <c r="F120" s="11"/>
      <c r="G120" s="11"/>
      <c r="H120" s="11"/>
    </row>
    <row r="121" spans="2:8" ht="15">
      <c r="B121" s="69"/>
      <c r="C121" s="69"/>
      <c r="D121" s="11"/>
      <c r="E121" s="11"/>
      <c r="F121" s="11"/>
      <c r="G121" s="11"/>
      <c r="H121" s="11"/>
    </row>
    <row r="122" spans="2:8" ht="15">
      <c r="B122" s="69"/>
      <c r="C122" s="69"/>
      <c r="D122" s="11"/>
      <c r="E122" s="11"/>
      <c r="F122" s="11"/>
      <c r="G122" s="11"/>
      <c r="H122" s="11"/>
    </row>
    <row r="123" spans="2:8" ht="15">
      <c r="B123" s="69"/>
      <c r="C123" s="69"/>
      <c r="D123" s="11"/>
      <c r="E123" s="11"/>
      <c r="F123" s="11"/>
      <c r="G123" s="11"/>
      <c r="H123" s="11"/>
    </row>
    <row r="124" spans="2:8" ht="15">
      <c r="B124" s="69"/>
      <c r="C124" s="69"/>
      <c r="D124" s="11"/>
      <c r="E124" s="11"/>
      <c r="F124" s="11"/>
      <c r="G124" s="11"/>
      <c r="H124" s="11"/>
    </row>
    <row r="125" spans="2:8" ht="15">
      <c r="B125" s="69"/>
      <c r="C125" s="69"/>
      <c r="D125" s="11"/>
      <c r="E125" s="11"/>
      <c r="F125" s="11"/>
      <c r="G125" s="11"/>
      <c r="H125" s="11"/>
    </row>
    <row r="126" spans="2:8" ht="15">
      <c r="B126" s="69"/>
      <c r="C126" s="69"/>
      <c r="D126" s="11"/>
      <c r="E126" s="11"/>
      <c r="F126" s="11"/>
      <c r="G126" s="11"/>
      <c r="H126" s="11"/>
    </row>
    <row r="127" spans="2:8" ht="15">
      <c r="B127" s="69"/>
      <c r="C127" s="69"/>
      <c r="D127" s="11"/>
      <c r="E127" s="11"/>
      <c r="F127" s="11"/>
      <c r="G127" s="11"/>
      <c r="H127" s="11"/>
    </row>
    <row r="128" spans="2:8" ht="15">
      <c r="B128" s="69"/>
      <c r="C128" s="69"/>
      <c r="D128" s="11"/>
      <c r="E128" s="11"/>
      <c r="F128" s="11"/>
      <c r="G128" s="11"/>
      <c r="H128" s="11"/>
    </row>
    <row r="129" spans="2:8" ht="15">
      <c r="B129" s="69"/>
      <c r="C129" s="69"/>
      <c r="D129" s="11"/>
      <c r="E129" s="11"/>
      <c r="F129" s="11"/>
      <c r="G129" s="11"/>
      <c r="H129" s="11"/>
    </row>
    <row r="130" spans="2:8" ht="15">
      <c r="B130" s="69"/>
      <c r="C130" s="69"/>
      <c r="D130" s="11"/>
      <c r="E130" s="11"/>
      <c r="F130" s="11"/>
      <c r="G130" s="11"/>
      <c r="H130" s="11"/>
    </row>
    <row r="131" spans="2:8" ht="15">
      <c r="B131" s="69"/>
      <c r="C131" s="69"/>
      <c r="D131" s="11"/>
      <c r="E131" s="11"/>
      <c r="F131" s="11"/>
      <c r="G131" s="11"/>
      <c r="H131" s="11"/>
    </row>
    <row r="132" spans="2:8" ht="15">
      <c r="B132" s="69"/>
      <c r="C132" s="69"/>
      <c r="D132" s="11"/>
      <c r="E132" s="11"/>
      <c r="F132" s="11"/>
      <c r="G132" s="11"/>
      <c r="H132" s="11"/>
    </row>
    <row r="133" spans="2:8" ht="15">
      <c r="B133" s="69"/>
      <c r="C133" s="69"/>
      <c r="D133" s="11"/>
      <c r="E133" s="11"/>
      <c r="F133" s="11"/>
      <c r="G133" s="11"/>
      <c r="H133" s="11"/>
    </row>
    <row r="134" spans="2:8" ht="15">
      <c r="B134" s="69"/>
      <c r="C134" s="69"/>
      <c r="D134" s="11"/>
      <c r="E134" s="11"/>
      <c r="F134" s="11"/>
      <c r="G134" s="11"/>
      <c r="H134" s="11"/>
    </row>
    <row r="135" spans="2:8" ht="15">
      <c r="B135" s="69"/>
      <c r="C135" s="69"/>
      <c r="D135" s="11"/>
      <c r="E135" s="11"/>
      <c r="F135" s="11"/>
      <c r="G135" s="11"/>
      <c r="H135" s="11"/>
    </row>
    <row r="136" spans="2:8" ht="15">
      <c r="B136" s="69"/>
      <c r="C136" s="69"/>
      <c r="D136" s="11"/>
      <c r="E136" s="11"/>
      <c r="F136" s="11"/>
      <c r="G136" s="11"/>
      <c r="H136" s="11"/>
    </row>
    <row r="137" spans="2:8" ht="15">
      <c r="B137" s="69"/>
      <c r="C137" s="69"/>
      <c r="D137" s="11"/>
      <c r="E137" s="11"/>
      <c r="F137" s="11"/>
      <c r="G137" s="11"/>
      <c r="H137" s="11"/>
    </row>
    <row r="138" spans="2:8" ht="15">
      <c r="B138" s="69"/>
      <c r="C138" s="69"/>
      <c r="D138" s="11"/>
      <c r="E138" s="11"/>
      <c r="F138" s="11"/>
      <c r="G138" s="11"/>
      <c r="H138" s="11"/>
    </row>
    <row r="139" spans="2:8" ht="15">
      <c r="B139" s="69"/>
      <c r="C139" s="69"/>
      <c r="D139" s="11"/>
      <c r="E139" s="11"/>
      <c r="F139" s="11"/>
      <c r="G139" s="11"/>
      <c r="H139" s="11"/>
    </row>
    <row r="140" spans="2:8" ht="15">
      <c r="B140" s="69"/>
      <c r="C140" s="69"/>
      <c r="D140" s="11"/>
      <c r="E140" s="11" t="s">
        <v>938</v>
      </c>
      <c r="F140" s="11"/>
      <c r="G140" s="11"/>
      <c r="H140" s="11"/>
    </row>
    <row r="141" spans="2:8" ht="15">
      <c r="B141" s="69"/>
      <c r="C141" s="69"/>
      <c r="D141" s="11"/>
      <c r="E141" s="11"/>
      <c r="F141" s="11"/>
      <c r="G141" s="11"/>
      <c r="H141" s="11"/>
    </row>
    <row r="142" spans="2:8" ht="15">
      <c r="B142" s="69"/>
      <c r="C142" s="69"/>
      <c r="D142" s="11"/>
      <c r="E142" s="11"/>
      <c r="F142" s="11"/>
      <c r="G142" s="11"/>
      <c r="H142" s="11"/>
    </row>
    <row r="143" spans="2:8" ht="15">
      <c r="B143" s="69"/>
      <c r="C143" s="69"/>
      <c r="D143" s="11"/>
      <c r="E143" s="11"/>
      <c r="F143" s="11"/>
      <c r="G143" s="11"/>
      <c r="H143" s="11"/>
    </row>
    <row r="144" spans="2:8" ht="15">
      <c r="B144" s="69"/>
      <c r="C144" s="69"/>
      <c r="D144" s="11"/>
      <c r="E144" s="11"/>
      <c r="F144" s="11"/>
      <c r="G144" s="11"/>
      <c r="H144" s="11"/>
    </row>
    <row r="145" spans="2:8" ht="15">
      <c r="B145" s="69"/>
      <c r="C145" s="69"/>
      <c r="D145" s="12"/>
      <c r="E145" s="11"/>
      <c r="F145" s="11"/>
      <c r="G145" s="11"/>
      <c r="H145" s="11"/>
    </row>
    <row r="146" spans="2:8" ht="15">
      <c r="B146" s="69"/>
      <c r="C146" s="69"/>
      <c r="D146" s="12"/>
      <c r="E146" s="11"/>
      <c r="F146" s="11"/>
      <c r="G146" s="11"/>
      <c r="H146" s="11"/>
    </row>
    <row r="147" spans="2:8" ht="15">
      <c r="B147" s="69"/>
      <c r="C147" s="69"/>
      <c r="D147" s="12"/>
      <c r="E147" s="11"/>
      <c r="F147" s="11"/>
      <c r="G147" s="11"/>
      <c r="H147" s="11"/>
    </row>
    <row r="148" spans="2:8" ht="15">
      <c r="B148" s="69"/>
      <c r="C148" s="69"/>
      <c r="D148" s="12"/>
      <c r="E148" s="11"/>
      <c r="F148" s="11"/>
      <c r="G148" s="11"/>
      <c r="H148" s="11"/>
    </row>
    <row r="149" spans="2:8" ht="15">
      <c r="B149" s="69"/>
      <c r="C149" s="69"/>
      <c r="D149" s="12"/>
      <c r="E149" s="11"/>
      <c r="F149" s="11"/>
      <c r="G149" s="11"/>
      <c r="H149" s="11"/>
    </row>
    <row r="150" spans="2:8" ht="15">
      <c r="B150" s="69"/>
      <c r="C150" s="69"/>
      <c r="D150" s="12"/>
      <c r="E150" s="11"/>
      <c r="F150" s="11"/>
      <c r="G150" s="11"/>
      <c r="H150" s="11"/>
    </row>
    <row r="151" spans="2:8" ht="15">
      <c r="B151" s="69"/>
      <c r="C151" s="69"/>
      <c r="D151" s="12"/>
      <c r="E151" s="11"/>
      <c r="F151" s="11"/>
      <c r="G151" s="11"/>
      <c r="H151" s="11"/>
    </row>
    <row r="152" spans="2:8" ht="15">
      <c r="B152" s="69"/>
      <c r="C152" s="69"/>
      <c r="D152" s="12"/>
      <c r="E152" s="11"/>
      <c r="F152" s="11"/>
      <c r="G152" s="11"/>
      <c r="H152" s="11"/>
    </row>
    <row r="153" spans="2:8" ht="15">
      <c r="B153" s="69"/>
      <c r="C153" s="69"/>
      <c r="D153" s="12"/>
      <c r="E153" s="11"/>
      <c r="F153" s="11"/>
      <c r="G153" s="11"/>
      <c r="H153" s="11"/>
    </row>
    <row r="154" spans="2:8" ht="15">
      <c r="B154" s="69"/>
      <c r="C154" s="69"/>
      <c r="D154" s="12"/>
      <c r="E154" s="11"/>
      <c r="F154" s="11"/>
      <c r="G154" s="11"/>
      <c r="H154" s="11"/>
    </row>
    <row r="155" spans="2:8" ht="15">
      <c r="B155" s="69"/>
      <c r="C155" s="69"/>
      <c r="D155" s="12"/>
      <c r="E155" s="11"/>
      <c r="F155" s="11"/>
      <c r="G155" s="11"/>
      <c r="H155" s="11"/>
    </row>
    <row r="156" spans="2:8" ht="15">
      <c r="B156" s="69"/>
      <c r="C156" s="69"/>
      <c r="D156" s="12"/>
      <c r="E156" s="11"/>
      <c r="F156" s="11"/>
      <c r="G156" s="11"/>
      <c r="H156" s="11"/>
    </row>
    <row r="157" spans="2:8" ht="15">
      <c r="B157" s="69"/>
      <c r="C157" s="69"/>
      <c r="D157" s="12"/>
      <c r="E157" s="11"/>
      <c r="F157" s="11"/>
      <c r="G157" s="11"/>
      <c r="H157" s="11"/>
    </row>
    <row r="158" spans="2:8" ht="15">
      <c r="B158" s="69"/>
      <c r="C158" s="69"/>
      <c r="D158" s="12"/>
      <c r="E158" s="11"/>
      <c r="F158" s="11"/>
      <c r="G158" s="11"/>
      <c r="H158" s="11"/>
    </row>
    <row r="159" spans="2:8" ht="15">
      <c r="B159" s="69"/>
      <c r="C159" s="69"/>
      <c r="D159" s="12"/>
      <c r="E159" s="11"/>
      <c r="F159" s="11"/>
      <c r="G159" s="11"/>
      <c r="H159" s="11"/>
    </row>
    <row r="160" spans="2:8" ht="15">
      <c r="B160" s="69"/>
      <c r="C160" s="69"/>
      <c r="D160" s="12"/>
      <c r="E160" s="11"/>
      <c r="F160" s="11"/>
      <c r="G160" s="11"/>
      <c r="H160" s="11"/>
    </row>
    <row r="161" spans="2:8" ht="15">
      <c r="B161" s="69"/>
      <c r="C161" s="69"/>
      <c r="D161" s="12"/>
      <c r="E161" s="11"/>
      <c r="F161" s="11"/>
      <c r="G161" s="11"/>
      <c r="H161" s="11"/>
    </row>
    <row r="162" spans="2:8" ht="15">
      <c r="B162" s="69"/>
      <c r="C162" s="69"/>
      <c r="D162" s="12"/>
      <c r="E162" s="11"/>
      <c r="F162" s="11"/>
      <c r="G162" s="11"/>
      <c r="H162" s="11"/>
    </row>
    <row r="163" spans="2:8" ht="15">
      <c r="B163" s="69"/>
      <c r="C163" s="69"/>
      <c r="D163" s="12"/>
      <c r="E163" s="11"/>
      <c r="F163" s="11"/>
      <c r="G163" s="11"/>
      <c r="H163" s="11"/>
    </row>
  </sheetData>
  <sheetProtection/>
  <mergeCells count="102">
    <mergeCell ref="A1:I1"/>
    <mergeCell ref="A2:I2"/>
    <mergeCell ref="A3:A4"/>
    <mergeCell ref="B3:C4"/>
    <mergeCell ref="D3:D4"/>
    <mergeCell ref="E3:E4"/>
    <mergeCell ref="F3:F4"/>
    <mergeCell ref="G3:G4"/>
    <mergeCell ref="H3:H4"/>
    <mergeCell ref="I3:I4"/>
    <mergeCell ref="B5:C5"/>
    <mergeCell ref="B6:C6"/>
    <mergeCell ref="B8:C8"/>
    <mergeCell ref="B9:C9"/>
    <mergeCell ref="B10:C10"/>
    <mergeCell ref="B11:C11"/>
    <mergeCell ref="B7:C7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4:C24"/>
    <mergeCell ref="B25:C25"/>
    <mergeCell ref="B26:C26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9:C49"/>
    <mergeCell ref="D51:I51"/>
    <mergeCell ref="B52:C52"/>
    <mergeCell ref="B54:C54"/>
    <mergeCell ref="B55:C55"/>
    <mergeCell ref="B56:C56"/>
    <mergeCell ref="B58:C58"/>
    <mergeCell ref="B59:C59"/>
    <mergeCell ref="B60:C60"/>
    <mergeCell ref="A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7:C97"/>
    <mergeCell ref="B98:C98"/>
    <mergeCell ref="B99:C99"/>
    <mergeCell ref="B100:C100"/>
    <mergeCell ref="B107:C107"/>
    <mergeCell ref="B101:C101"/>
    <mergeCell ref="B102:C102"/>
    <mergeCell ref="B103:C103"/>
    <mergeCell ref="B104:C104"/>
    <mergeCell ref="B105:C105"/>
    <mergeCell ref="B106:C106"/>
  </mergeCells>
  <printOptions/>
  <pageMargins left="0.7" right="0.7" top="0.75" bottom="0.75" header="0.3" footer="0.3"/>
  <pageSetup horizontalDpi="600" verticalDpi="600" orientation="landscape" scale="70" r:id="rId3"/>
  <headerFooter alignWithMargins="0"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="85" zoomScaleNormal="85" zoomScalePageLayoutView="0" workbookViewId="0" topLeftCell="A43">
      <selection activeCell="E52" sqref="E52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1.140625" style="1" customWidth="1"/>
    <col min="5" max="5" width="19.7109375" style="1" customWidth="1"/>
    <col min="6" max="6" width="19.8515625" style="1" customWidth="1"/>
    <col min="7" max="7" width="19.140625" style="0" customWidth="1"/>
    <col min="8" max="8" width="18.140625" style="0" customWidth="1"/>
    <col min="9" max="9" width="12.7109375" style="0" customWidth="1"/>
    <col min="11" max="11" width="19.421875" style="197" bestFit="1" customWidth="1"/>
  </cols>
  <sheetData>
    <row r="1" spans="1:12" ht="27.75">
      <c r="A1" s="343" t="s">
        <v>45</v>
      </c>
      <c r="B1" s="343"/>
      <c r="C1" s="343"/>
      <c r="D1" s="343"/>
      <c r="E1" s="343"/>
      <c r="F1" s="343"/>
      <c r="G1" s="343"/>
      <c r="H1" s="343"/>
      <c r="I1" s="343"/>
      <c r="K1" s="195"/>
      <c r="L1" s="1"/>
    </row>
    <row r="2" spans="1:12" ht="23.25">
      <c r="A2" s="344" t="s">
        <v>1183</v>
      </c>
      <c r="B2" s="344"/>
      <c r="C2" s="344"/>
      <c r="D2" s="344"/>
      <c r="E2" s="344"/>
      <c r="F2" s="344"/>
      <c r="G2" s="344"/>
      <c r="H2" s="344"/>
      <c r="I2" s="344"/>
      <c r="K2" s="195"/>
      <c r="L2" s="1"/>
    </row>
    <row r="3" spans="1:12" ht="15.75" customHeight="1">
      <c r="A3" s="321"/>
      <c r="B3" s="322" t="s">
        <v>0</v>
      </c>
      <c r="C3" s="322"/>
      <c r="D3" s="323" t="s">
        <v>1144</v>
      </c>
      <c r="E3" s="324" t="s">
        <v>1145</v>
      </c>
      <c r="F3" s="326" t="s">
        <v>1146</v>
      </c>
      <c r="G3" s="324" t="s">
        <v>1147</v>
      </c>
      <c r="H3" s="322" t="s">
        <v>2</v>
      </c>
      <c r="I3" s="322" t="s">
        <v>1</v>
      </c>
      <c r="K3" s="195"/>
      <c r="L3" s="1"/>
    </row>
    <row r="4" spans="1:12" ht="15.75" customHeight="1">
      <c r="A4" s="321"/>
      <c r="B4" s="322"/>
      <c r="C4" s="322"/>
      <c r="D4" s="323"/>
      <c r="E4" s="325"/>
      <c r="F4" s="326"/>
      <c r="G4" s="325"/>
      <c r="H4" s="322"/>
      <c r="I4" s="322"/>
      <c r="K4" s="195"/>
      <c r="L4" s="1"/>
    </row>
    <row r="5" spans="1:12" ht="19.5" customHeight="1">
      <c r="A5" s="203"/>
      <c r="B5" s="327" t="s">
        <v>4</v>
      </c>
      <c r="C5" s="327"/>
      <c r="D5" s="17"/>
      <c r="E5" s="17"/>
      <c r="F5" s="17"/>
      <c r="G5" s="17" t="s">
        <v>53</v>
      </c>
      <c r="H5" s="17"/>
      <c r="I5" s="9"/>
      <c r="K5" s="195"/>
      <c r="L5" s="1"/>
    </row>
    <row r="6" spans="1:12" ht="15">
      <c r="A6" s="46">
        <v>110851</v>
      </c>
      <c r="B6" s="312" t="s">
        <v>1141</v>
      </c>
      <c r="C6" s="314"/>
      <c r="D6" s="34">
        <v>1822909451</v>
      </c>
      <c r="E6" s="34">
        <v>0</v>
      </c>
      <c r="F6" s="66">
        <v>0</v>
      </c>
      <c r="G6" s="34">
        <f>E6+F6</f>
        <v>0</v>
      </c>
      <c r="H6" s="34">
        <f aca="true" t="shared" si="0" ref="H6:H18">D6-G6</f>
        <v>1822909451</v>
      </c>
      <c r="I6" s="41">
        <f>G6/D6*100</f>
        <v>0</v>
      </c>
      <c r="K6" s="195"/>
      <c r="L6" s="1"/>
    </row>
    <row r="7" spans="1:12" ht="15">
      <c r="A7" s="46">
        <v>110851</v>
      </c>
      <c r="B7" s="312" t="s">
        <v>1142</v>
      </c>
      <c r="C7" s="314"/>
      <c r="D7" s="34">
        <v>520000000</v>
      </c>
      <c r="E7" s="34">
        <v>0</v>
      </c>
      <c r="F7" s="66">
        <f>13635+19938041.46+222932.38+1017771.2+1000000+71779+3277000.64+6283669.16+3200117.07+240000+53595+5430760.27+31926067.88+2070000+335040+8268967.27+8482495.46</f>
        <v>91831871.78999999</v>
      </c>
      <c r="G7" s="34">
        <f aca="true" t="shared" si="1" ref="G7:G18">E7+F7</f>
        <v>91831871.78999999</v>
      </c>
      <c r="H7" s="34">
        <f t="shared" si="0"/>
        <v>428168128.21000004</v>
      </c>
      <c r="I7" s="41">
        <f>G7/D7*100</f>
        <v>17.65997534423077</v>
      </c>
      <c r="K7" s="195"/>
      <c r="L7" s="1"/>
    </row>
    <row r="8" spans="1:12" ht="15">
      <c r="A8" s="46">
        <v>140283</v>
      </c>
      <c r="B8" s="312" t="s">
        <v>7</v>
      </c>
      <c r="C8" s="314"/>
      <c r="D8" s="34">
        <v>15000000</v>
      </c>
      <c r="E8" s="34">
        <v>0</v>
      </c>
      <c r="F8" s="66">
        <v>0</v>
      </c>
      <c r="G8" s="34">
        <f t="shared" si="1"/>
        <v>0</v>
      </c>
      <c r="H8" s="34">
        <f t="shared" si="0"/>
        <v>15000000</v>
      </c>
      <c r="I8" s="41">
        <f aca="true" t="shared" si="2" ref="I8:I18">G8/D8*100</f>
        <v>0</v>
      </c>
      <c r="K8" s="195"/>
      <c r="L8" s="1"/>
    </row>
    <row r="9" spans="1:12" ht="15.75">
      <c r="A9" s="46">
        <v>140289</v>
      </c>
      <c r="B9" s="312" t="s">
        <v>58</v>
      </c>
      <c r="C9" s="314"/>
      <c r="D9" s="34">
        <v>0</v>
      </c>
      <c r="E9" s="34">
        <v>0</v>
      </c>
      <c r="F9" s="66">
        <v>0</v>
      </c>
      <c r="G9" s="34">
        <f t="shared" si="1"/>
        <v>0</v>
      </c>
      <c r="H9" s="34">
        <f t="shared" si="0"/>
        <v>0</v>
      </c>
      <c r="I9" s="41">
        <v>0</v>
      </c>
      <c r="K9" s="196"/>
      <c r="L9" s="1"/>
    </row>
    <row r="10" spans="1:12" ht="15">
      <c r="A10" s="46">
        <v>140291</v>
      </c>
      <c r="B10" s="312" t="s">
        <v>8</v>
      </c>
      <c r="C10" s="314"/>
      <c r="D10" s="34">
        <v>20000000</v>
      </c>
      <c r="E10" s="34">
        <v>0</v>
      </c>
      <c r="F10" s="66">
        <f>94850+393300+138570+161500</f>
        <v>788220</v>
      </c>
      <c r="G10" s="34">
        <f t="shared" si="1"/>
        <v>788220</v>
      </c>
      <c r="H10" s="34">
        <f t="shared" si="0"/>
        <v>19211780</v>
      </c>
      <c r="I10" s="41">
        <f t="shared" si="2"/>
        <v>3.9411</v>
      </c>
      <c r="K10" s="195"/>
      <c r="L10" s="1"/>
    </row>
    <row r="11" spans="1:12" ht="15">
      <c r="A11" s="46">
        <v>140292</v>
      </c>
      <c r="B11" s="312" t="s">
        <v>9</v>
      </c>
      <c r="C11" s="314"/>
      <c r="D11" s="34">
        <v>3600000</v>
      </c>
      <c r="E11" s="34">
        <v>0</v>
      </c>
      <c r="F11" s="66">
        <v>700000</v>
      </c>
      <c r="G11" s="34">
        <f t="shared" si="1"/>
        <v>700000</v>
      </c>
      <c r="H11" s="34">
        <f t="shared" si="0"/>
        <v>2900000</v>
      </c>
      <c r="I11" s="41">
        <f t="shared" si="2"/>
        <v>19.444444444444446</v>
      </c>
      <c r="K11" s="195"/>
      <c r="L11" s="1"/>
    </row>
    <row r="12" spans="1:12" ht="15">
      <c r="A12" s="46">
        <v>140387</v>
      </c>
      <c r="B12" s="312" t="s">
        <v>14</v>
      </c>
      <c r="C12" s="314"/>
      <c r="D12" s="34">
        <v>15550000</v>
      </c>
      <c r="E12" s="34">
        <v>0</v>
      </c>
      <c r="F12" s="66">
        <v>0</v>
      </c>
      <c r="G12" s="34">
        <f t="shared" si="1"/>
        <v>0</v>
      </c>
      <c r="H12" s="34">
        <f t="shared" si="0"/>
        <v>15550000</v>
      </c>
      <c r="I12" s="41">
        <f t="shared" si="2"/>
        <v>0</v>
      </c>
      <c r="K12" s="195"/>
      <c r="L12" s="1"/>
    </row>
    <row r="13" spans="1:12" ht="15">
      <c r="A13" s="46">
        <v>140353</v>
      </c>
      <c r="B13" s="312" t="s">
        <v>57</v>
      </c>
      <c r="C13" s="314"/>
      <c r="D13" s="34">
        <v>0</v>
      </c>
      <c r="E13" s="34">
        <v>0</v>
      </c>
      <c r="F13" s="66">
        <v>0</v>
      </c>
      <c r="G13" s="34">
        <f t="shared" si="1"/>
        <v>0</v>
      </c>
      <c r="H13" s="34">
        <f t="shared" si="0"/>
        <v>0</v>
      </c>
      <c r="I13" s="41">
        <v>0</v>
      </c>
      <c r="K13" s="195"/>
      <c r="L13" s="1"/>
    </row>
    <row r="14" spans="1:12" ht="15">
      <c r="A14" s="46">
        <v>140392</v>
      </c>
      <c r="B14" s="345" t="s">
        <v>67</v>
      </c>
      <c r="C14" s="312"/>
      <c r="D14" s="71">
        <v>3000000</v>
      </c>
      <c r="E14" s="34">
        <v>0</v>
      </c>
      <c r="F14" s="66">
        <v>0</v>
      </c>
      <c r="G14" s="34">
        <f t="shared" si="1"/>
        <v>0</v>
      </c>
      <c r="H14" s="34">
        <f t="shared" si="0"/>
        <v>3000000</v>
      </c>
      <c r="I14" s="41">
        <f t="shared" si="2"/>
        <v>0</v>
      </c>
      <c r="K14" s="195"/>
      <c r="L14" s="1"/>
    </row>
    <row r="15" spans="1:12" ht="15">
      <c r="A15" s="46">
        <v>140505</v>
      </c>
      <c r="B15" s="312" t="s">
        <v>6</v>
      </c>
      <c r="C15" s="314"/>
      <c r="D15" s="34">
        <f>22867553-8680000</f>
        <v>14187553</v>
      </c>
      <c r="E15" s="34">
        <v>0</v>
      </c>
      <c r="F15" s="66">
        <f>1500000+600000</f>
        <v>2100000</v>
      </c>
      <c r="G15" s="34">
        <f t="shared" si="1"/>
        <v>2100000</v>
      </c>
      <c r="H15" s="34">
        <f>D15-G15</f>
        <v>12087553</v>
      </c>
      <c r="I15" s="41">
        <f>G15/D15*100</f>
        <v>14.80170682005558</v>
      </c>
      <c r="K15" s="195"/>
      <c r="L15" s="1"/>
    </row>
    <row r="16" spans="1:12" ht="15">
      <c r="A16" s="46"/>
      <c r="B16" s="345" t="s">
        <v>1143</v>
      </c>
      <c r="C16" s="312"/>
      <c r="D16" s="71">
        <v>3000000</v>
      </c>
      <c r="E16" s="71">
        <v>0</v>
      </c>
      <c r="F16" s="66">
        <f>625500+15000+41000*2+90000+4500*2+27000+13500+9000+11000+41000+41000*2+4500*2</f>
        <v>1014000</v>
      </c>
      <c r="G16" s="34">
        <f t="shared" si="1"/>
        <v>1014000</v>
      </c>
      <c r="H16" s="34">
        <f>D16-G16</f>
        <v>1986000</v>
      </c>
      <c r="I16" s="41">
        <f>G16/D16*100</f>
        <v>33.800000000000004</v>
      </c>
      <c r="K16" s="195"/>
      <c r="L16" s="1"/>
    </row>
    <row r="17" spans="1:12" ht="15">
      <c r="A17" s="46"/>
      <c r="B17" s="345" t="s">
        <v>1099</v>
      </c>
      <c r="C17" s="312"/>
      <c r="D17" s="71">
        <v>0</v>
      </c>
      <c r="E17" s="71">
        <v>0</v>
      </c>
      <c r="F17" s="66">
        <f>5000000+950000+6650000+750000</f>
        <v>13350000</v>
      </c>
      <c r="G17" s="34">
        <f t="shared" si="1"/>
        <v>13350000</v>
      </c>
      <c r="H17" s="34">
        <f>D17-G17</f>
        <v>-13350000</v>
      </c>
      <c r="I17" s="185">
        <v>0</v>
      </c>
      <c r="K17" s="195"/>
      <c r="L17" s="1"/>
    </row>
    <row r="18" spans="1:12" ht="15.75" thickBot="1">
      <c r="A18" s="46"/>
      <c r="B18" s="346" t="s">
        <v>3</v>
      </c>
      <c r="C18" s="313"/>
      <c r="D18" s="49">
        <f>SUM(D6:D17)</f>
        <v>2417247004</v>
      </c>
      <c r="E18" s="49">
        <f>SUM(E6:E17)</f>
        <v>0</v>
      </c>
      <c r="F18" s="49">
        <f>SUM(F6:F17)</f>
        <v>109784091.78999999</v>
      </c>
      <c r="G18" s="44">
        <f t="shared" si="1"/>
        <v>109784091.78999999</v>
      </c>
      <c r="H18" s="44">
        <f t="shared" si="0"/>
        <v>2307462912.21</v>
      </c>
      <c r="I18" s="45">
        <f t="shared" si="2"/>
        <v>4.54169936329767</v>
      </c>
      <c r="K18" s="195"/>
      <c r="L18" s="1"/>
    </row>
    <row r="19" spans="1:12" ht="15.75" thickTop="1">
      <c r="A19" s="9"/>
      <c r="B19" s="10"/>
      <c r="C19" s="10"/>
      <c r="D19" s="19"/>
      <c r="E19" s="19"/>
      <c r="F19" s="19"/>
      <c r="G19" s="19"/>
      <c r="H19" s="19"/>
      <c r="I19" s="165"/>
      <c r="K19" s="195"/>
      <c r="L19" s="1"/>
    </row>
    <row r="20" spans="1:12" ht="15">
      <c r="A20" s="9"/>
      <c r="B20" s="327" t="s">
        <v>10</v>
      </c>
      <c r="C20" s="327"/>
      <c r="D20" s="19"/>
      <c r="E20" s="19"/>
      <c r="F20" s="19"/>
      <c r="G20" s="19"/>
      <c r="H20" s="19"/>
      <c r="I20" s="165"/>
      <c r="K20" s="195"/>
      <c r="L20" s="1"/>
    </row>
    <row r="21" spans="1:12" ht="15">
      <c r="A21" s="46">
        <v>140370</v>
      </c>
      <c r="B21" s="314" t="s">
        <v>12</v>
      </c>
      <c r="C21" s="314"/>
      <c r="D21" s="34">
        <v>10000000</v>
      </c>
      <c r="E21" s="34">
        <v>0</v>
      </c>
      <c r="F21" s="66">
        <v>1835000</v>
      </c>
      <c r="G21" s="34">
        <f>E21+F21</f>
        <v>1835000</v>
      </c>
      <c r="H21" s="34">
        <f>D21-G21</f>
        <v>8165000</v>
      </c>
      <c r="I21" s="41">
        <f>G21/D21*100</f>
        <v>18.35</v>
      </c>
      <c r="K21" s="192"/>
      <c r="L21" s="1"/>
    </row>
    <row r="22" spans="1:12" ht="15">
      <c r="A22" s="46">
        <v>140371</v>
      </c>
      <c r="B22" s="314" t="s">
        <v>13</v>
      </c>
      <c r="C22" s="314"/>
      <c r="D22" s="34">
        <v>40000000</v>
      </c>
      <c r="E22" s="34">
        <v>0</v>
      </c>
      <c r="F22" s="164">
        <v>10606000</v>
      </c>
      <c r="G22" s="34">
        <f>E22+F22</f>
        <v>10606000</v>
      </c>
      <c r="H22" s="34">
        <f>D22-G22</f>
        <v>29394000</v>
      </c>
      <c r="I22" s="41">
        <f>G22/D22*100</f>
        <v>26.515</v>
      </c>
      <c r="K22" s="192"/>
      <c r="L22" s="1"/>
    </row>
    <row r="23" spans="1:12" ht="15">
      <c r="A23" s="46">
        <v>110852</v>
      </c>
      <c r="B23" s="314" t="s">
        <v>11</v>
      </c>
      <c r="C23" s="314"/>
      <c r="D23" s="34">
        <v>25000000</v>
      </c>
      <c r="E23" s="34">
        <v>0</v>
      </c>
      <c r="F23" s="34">
        <v>108700</v>
      </c>
      <c r="G23" s="34">
        <f>E23+F23</f>
        <v>108700</v>
      </c>
      <c r="H23" s="34">
        <f>D23-G23</f>
        <v>24891300</v>
      </c>
      <c r="I23" s="41">
        <f>G23/D23*100</f>
        <v>0.4348</v>
      </c>
      <c r="K23" s="192"/>
      <c r="L23" s="1"/>
    </row>
    <row r="24" spans="1:12" ht="15.75" thickBot="1">
      <c r="A24" s="40"/>
      <c r="B24" s="313" t="s">
        <v>3</v>
      </c>
      <c r="C24" s="313"/>
      <c r="D24" s="49">
        <f>SUM(D21:D23)</f>
        <v>75000000</v>
      </c>
      <c r="E24" s="49">
        <f>SUM(E21:E23)</f>
        <v>0</v>
      </c>
      <c r="F24" s="44">
        <f>SUM(F21:F23)</f>
        <v>12549700</v>
      </c>
      <c r="G24" s="44">
        <f>E24+F24</f>
        <v>12549700</v>
      </c>
      <c r="H24" s="44">
        <f>D24-G24</f>
        <v>62450300</v>
      </c>
      <c r="I24" s="41">
        <f>G24/D24</f>
        <v>0.16732933333333333</v>
      </c>
      <c r="K24" s="195"/>
      <c r="L24" s="1"/>
    </row>
    <row r="25" spans="1:12" ht="15.75" thickTop="1">
      <c r="A25" s="9"/>
      <c r="B25" s="70"/>
      <c r="C25" s="70"/>
      <c r="D25" s="67"/>
      <c r="E25" s="67"/>
      <c r="F25" s="26"/>
      <c r="G25" s="21"/>
      <c r="H25" s="21"/>
      <c r="I25" s="166"/>
      <c r="K25" s="192"/>
      <c r="L25" s="1"/>
    </row>
    <row r="26" spans="1:12" ht="15">
      <c r="A26" s="9"/>
      <c r="B26" s="327" t="s">
        <v>15</v>
      </c>
      <c r="C26" s="327"/>
      <c r="D26" s="19"/>
      <c r="E26" s="19"/>
      <c r="F26" s="19"/>
      <c r="G26" s="19"/>
      <c r="H26" s="19"/>
      <c r="I26" s="165"/>
      <c r="K26" s="192"/>
      <c r="L26" s="1"/>
    </row>
    <row r="27" spans="1:12" ht="15">
      <c r="A27" s="46">
        <v>110809</v>
      </c>
      <c r="B27" s="314" t="s">
        <v>16</v>
      </c>
      <c r="C27" s="314"/>
      <c r="D27" s="34">
        <v>2500000</v>
      </c>
      <c r="E27" s="34">
        <v>0</v>
      </c>
      <c r="F27" s="34">
        <v>0</v>
      </c>
      <c r="G27" s="34">
        <f aca="true" t="shared" si="3" ref="G27:G33">E27+F27</f>
        <v>0</v>
      </c>
      <c r="H27" s="34">
        <f aca="true" t="shared" si="4" ref="H27:H33">D27-G27</f>
        <v>2500000</v>
      </c>
      <c r="I27" s="41">
        <f aca="true" t="shared" si="5" ref="I27:I33">G27/D27*100</f>
        <v>0</v>
      </c>
      <c r="K27" s="192"/>
      <c r="L27" s="1"/>
    </row>
    <row r="28" spans="1:12" ht="15">
      <c r="A28" s="46">
        <v>110810</v>
      </c>
      <c r="B28" s="314" t="s">
        <v>17</v>
      </c>
      <c r="C28" s="314"/>
      <c r="D28" s="34">
        <v>72000000</v>
      </c>
      <c r="E28" s="34">
        <v>0</v>
      </c>
      <c r="F28" s="164">
        <f>3000000+5000000</f>
        <v>8000000</v>
      </c>
      <c r="G28" s="34">
        <f t="shared" si="3"/>
        <v>8000000</v>
      </c>
      <c r="H28" s="34">
        <f t="shared" si="4"/>
        <v>64000000</v>
      </c>
      <c r="I28" s="41">
        <f t="shared" si="5"/>
        <v>11.11111111111111</v>
      </c>
      <c r="K28" s="192"/>
      <c r="L28" s="1"/>
    </row>
    <row r="29" spans="1:12" ht="15">
      <c r="A29" s="46">
        <v>110806</v>
      </c>
      <c r="B29" s="189" t="s">
        <v>46</v>
      </c>
      <c r="C29" s="189"/>
      <c r="D29" s="34">
        <v>35000000</v>
      </c>
      <c r="E29" s="34">
        <v>0</v>
      </c>
      <c r="F29" s="34">
        <v>0</v>
      </c>
      <c r="G29" s="34">
        <f t="shared" si="3"/>
        <v>0</v>
      </c>
      <c r="H29" s="34">
        <f t="shared" si="4"/>
        <v>35000000</v>
      </c>
      <c r="I29" s="41">
        <f t="shared" si="5"/>
        <v>0</v>
      </c>
      <c r="K29" s="192"/>
      <c r="L29" s="1"/>
    </row>
    <row r="30" spans="1:12" ht="15">
      <c r="A30" s="46">
        <v>110807</v>
      </c>
      <c r="B30" s="189" t="s">
        <v>47</v>
      </c>
      <c r="C30" s="189"/>
      <c r="D30" s="34">
        <v>5000000</v>
      </c>
      <c r="E30" s="34">
        <v>0</v>
      </c>
      <c r="F30" s="34">
        <v>0</v>
      </c>
      <c r="G30" s="34">
        <f t="shared" si="3"/>
        <v>0</v>
      </c>
      <c r="H30" s="34">
        <f t="shared" si="4"/>
        <v>5000000</v>
      </c>
      <c r="I30" s="41">
        <f t="shared" si="5"/>
        <v>0</v>
      </c>
      <c r="K30" s="192"/>
      <c r="L30" s="1"/>
    </row>
    <row r="31" spans="1:12" ht="15">
      <c r="A31" s="46"/>
      <c r="B31" s="311" t="s">
        <v>69</v>
      </c>
      <c r="C31" s="312"/>
      <c r="D31" s="71">
        <v>10000000</v>
      </c>
      <c r="E31" s="34">
        <v>0</v>
      </c>
      <c r="F31" s="34">
        <v>2500000</v>
      </c>
      <c r="G31" s="34">
        <f t="shared" si="3"/>
        <v>2500000</v>
      </c>
      <c r="H31" s="34">
        <f t="shared" si="4"/>
        <v>7500000</v>
      </c>
      <c r="I31" s="41">
        <f t="shared" si="5"/>
        <v>25</v>
      </c>
      <c r="K31" s="192"/>
      <c r="L31" s="1"/>
    </row>
    <row r="32" spans="1:12" ht="15">
      <c r="A32" s="46"/>
      <c r="B32" s="311" t="s">
        <v>70</v>
      </c>
      <c r="C32" s="312"/>
      <c r="D32" s="71">
        <v>5000000</v>
      </c>
      <c r="E32" s="34">
        <v>0</v>
      </c>
      <c r="F32" s="34">
        <v>0</v>
      </c>
      <c r="G32" s="34">
        <f t="shared" si="3"/>
        <v>0</v>
      </c>
      <c r="H32" s="34">
        <f t="shared" si="4"/>
        <v>5000000</v>
      </c>
      <c r="I32" s="41">
        <f t="shared" si="5"/>
        <v>0</v>
      </c>
      <c r="K32" s="192"/>
      <c r="L32" s="1"/>
    </row>
    <row r="33" spans="1:12" ht="15.75" thickBot="1">
      <c r="A33" s="40"/>
      <c r="B33" s="328" t="s">
        <v>3</v>
      </c>
      <c r="C33" s="328"/>
      <c r="D33" s="49">
        <f>SUM(D27:D32)</f>
        <v>129500000</v>
      </c>
      <c r="E33" s="49">
        <f>SUM(E27:E32)</f>
        <v>0</v>
      </c>
      <c r="F33" s="44">
        <f>SUM(F27:F32)</f>
        <v>10500000</v>
      </c>
      <c r="G33" s="44">
        <f t="shared" si="3"/>
        <v>10500000</v>
      </c>
      <c r="H33" s="44">
        <f t="shared" si="4"/>
        <v>119000000</v>
      </c>
      <c r="I33" s="45">
        <f t="shared" si="5"/>
        <v>8.108108108108109</v>
      </c>
      <c r="K33" s="192"/>
      <c r="L33" s="1"/>
    </row>
    <row r="34" spans="1:12" ht="15.75" thickTop="1">
      <c r="A34" s="9"/>
      <c r="B34" s="70"/>
      <c r="C34" s="70"/>
      <c r="D34" s="67"/>
      <c r="E34" s="67"/>
      <c r="F34" s="67"/>
      <c r="G34" s="19"/>
      <c r="H34" s="19"/>
      <c r="I34" s="165"/>
      <c r="K34" s="192"/>
      <c r="L34" s="1"/>
    </row>
    <row r="35" spans="1:12" ht="15">
      <c r="A35" s="9"/>
      <c r="B35" s="318" t="s">
        <v>18</v>
      </c>
      <c r="C35" s="318"/>
      <c r="D35" s="67"/>
      <c r="E35" s="67"/>
      <c r="F35" s="67"/>
      <c r="G35" s="19"/>
      <c r="H35" s="19"/>
      <c r="I35" s="165"/>
      <c r="K35" s="192"/>
      <c r="L35" s="1"/>
    </row>
    <row r="36" spans="1:12" ht="15">
      <c r="A36" s="46">
        <v>140348</v>
      </c>
      <c r="B36" s="314" t="s">
        <v>19</v>
      </c>
      <c r="C36" s="314"/>
      <c r="D36" s="34">
        <v>100000000</v>
      </c>
      <c r="E36" s="34">
        <v>0</v>
      </c>
      <c r="F36" s="66">
        <f>12000000+10000000+5000000</f>
        <v>27000000</v>
      </c>
      <c r="G36" s="34">
        <f>E36+F36</f>
        <v>27000000</v>
      </c>
      <c r="H36" s="34">
        <f>D36-G36</f>
        <v>73000000</v>
      </c>
      <c r="I36" s="41">
        <f>G36/D36*100</f>
        <v>27</v>
      </c>
      <c r="K36" s="184"/>
      <c r="L36" s="1"/>
    </row>
    <row r="37" spans="1:12" ht="15">
      <c r="A37" s="46">
        <v>140349</v>
      </c>
      <c r="B37" s="314" t="s">
        <v>20</v>
      </c>
      <c r="C37" s="314"/>
      <c r="D37" s="34">
        <v>4000000</v>
      </c>
      <c r="E37" s="34">
        <v>0</v>
      </c>
      <c r="F37" s="66">
        <f>119000+24000+69500+76600</f>
        <v>289100</v>
      </c>
      <c r="G37" s="34">
        <f>E37+F37</f>
        <v>289100</v>
      </c>
      <c r="H37" s="34">
        <f>D37-G37</f>
        <v>3710900</v>
      </c>
      <c r="I37" s="41">
        <f>G37/D37*100</f>
        <v>7.227500000000001</v>
      </c>
      <c r="K37" s="195"/>
      <c r="L37" s="1"/>
    </row>
    <row r="38" spans="1:12" ht="15">
      <c r="A38" s="46"/>
      <c r="B38" s="311" t="s">
        <v>68</v>
      </c>
      <c r="C38" s="312"/>
      <c r="D38" s="71">
        <v>5000000</v>
      </c>
      <c r="E38" s="34">
        <v>0</v>
      </c>
      <c r="F38" s="34">
        <v>0</v>
      </c>
      <c r="G38" s="34">
        <f>E38+F38</f>
        <v>0</v>
      </c>
      <c r="H38" s="34">
        <f>D38-G38</f>
        <v>5000000</v>
      </c>
      <c r="I38" s="41">
        <f>G38/D38*100</f>
        <v>0</v>
      </c>
      <c r="K38" s="195"/>
      <c r="L38" s="1"/>
    </row>
    <row r="39" spans="1:12" ht="15.75" thickBot="1">
      <c r="A39" s="40"/>
      <c r="B39" s="328" t="s">
        <v>3</v>
      </c>
      <c r="C39" s="328"/>
      <c r="D39" s="49">
        <f>SUM(D36:D38)</f>
        <v>109000000</v>
      </c>
      <c r="E39" s="49">
        <f>SUM(E36:E38)</f>
        <v>0</v>
      </c>
      <c r="F39" s="44">
        <f>SUM(F36:F38)</f>
        <v>27289100</v>
      </c>
      <c r="G39" s="44">
        <f>E39+F39</f>
        <v>27289100</v>
      </c>
      <c r="H39" s="44">
        <f>D39-G39</f>
        <v>81710900</v>
      </c>
      <c r="I39" s="45">
        <f>G39/D39*100</f>
        <v>25.035871559633026</v>
      </c>
      <c r="K39" s="195"/>
      <c r="L39" s="1"/>
    </row>
    <row r="40" spans="1:12" ht="15.75" thickTop="1">
      <c r="A40" s="9"/>
      <c r="B40" s="315"/>
      <c r="C40" s="315"/>
      <c r="D40" s="19"/>
      <c r="E40" s="19"/>
      <c r="F40" s="19"/>
      <c r="G40" s="19"/>
      <c r="H40" s="19"/>
      <c r="I40" s="165"/>
      <c r="K40" s="195"/>
      <c r="L40" s="1"/>
    </row>
    <row r="41" spans="1:12" ht="15.75">
      <c r="A41" s="76"/>
      <c r="B41" s="318" t="s">
        <v>21</v>
      </c>
      <c r="C41" s="318"/>
      <c r="D41" s="19"/>
      <c r="E41" s="19"/>
      <c r="F41" s="19"/>
      <c r="G41" s="19"/>
      <c r="H41" s="19"/>
      <c r="I41" s="165"/>
      <c r="K41" s="195"/>
      <c r="L41" s="1"/>
    </row>
    <row r="42" spans="1:12" ht="15">
      <c r="A42" s="46">
        <v>110802</v>
      </c>
      <c r="B42" s="314" t="s">
        <v>22</v>
      </c>
      <c r="C42" s="314"/>
      <c r="D42" s="34">
        <v>45000000</v>
      </c>
      <c r="E42" s="34">
        <v>0</v>
      </c>
      <c r="F42" s="34">
        <v>0</v>
      </c>
      <c r="G42" s="34">
        <f>E42+F42</f>
        <v>0</v>
      </c>
      <c r="H42" s="34">
        <f>D42-G42</f>
        <v>45000000</v>
      </c>
      <c r="I42" s="41">
        <f>G42/D42*100</f>
        <v>0</v>
      </c>
      <c r="K42" s="195"/>
      <c r="L42" s="1"/>
    </row>
    <row r="43" spans="1:12" ht="15">
      <c r="A43" s="46">
        <v>140289</v>
      </c>
      <c r="B43" s="314" t="s">
        <v>23</v>
      </c>
      <c r="C43" s="314"/>
      <c r="D43" s="34">
        <v>10000000</v>
      </c>
      <c r="E43" s="34">
        <v>0</v>
      </c>
      <c r="F43" s="66">
        <f>50000</f>
        <v>50000</v>
      </c>
      <c r="G43" s="34">
        <f>E43+F43</f>
        <v>50000</v>
      </c>
      <c r="H43" s="34">
        <f>D43-G43</f>
        <v>9950000</v>
      </c>
      <c r="I43" s="41">
        <f>G43/D43*100</f>
        <v>0.5</v>
      </c>
      <c r="K43" s="195"/>
      <c r="L43" s="1"/>
    </row>
    <row r="44" spans="1:12" ht="15.75" thickBot="1">
      <c r="A44" s="40"/>
      <c r="B44" s="328" t="s">
        <v>3</v>
      </c>
      <c r="C44" s="328"/>
      <c r="D44" s="49">
        <f>SUM(D42:D43)</f>
        <v>55000000</v>
      </c>
      <c r="E44" s="49">
        <f>SUM(E42:E43)</f>
        <v>0</v>
      </c>
      <c r="F44" s="49">
        <f>SUM(F42:F43)</f>
        <v>50000</v>
      </c>
      <c r="G44" s="44">
        <f>E44+F44</f>
        <v>50000</v>
      </c>
      <c r="H44" s="44">
        <f>D44-G44</f>
        <v>54950000</v>
      </c>
      <c r="I44" s="45">
        <f>G44/D44*100</f>
        <v>0.09090909090909091</v>
      </c>
      <c r="K44" s="195"/>
      <c r="L44" s="1"/>
    </row>
    <row r="45" spans="1:12" ht="15.75" thickTop="1">
      <c r="A45" s="9"/>
      <c r="B45" s="70"/>
      <c r="C45" s="70"/>
      <c r="D45" s="67"/>
      <c r="E45" s="67"/>
      <c r="F45" s="67"/>
      <c r="G45" s="19"/>
      <c r="H45" s="19"/>
      <c r="I45" s="165"/>
      <c r="K45" s="195"/>
      <c r="L45" s="1"/>
    </row>
    <row r="46" spans="1:12" ht="15">
      <c r="A46" s="9"/>
      <c r="B46" s="70"/>
      <c r="C46" s="70"/>
      <c r="D46" s="67"/>
      <c r="E46" s="67"/>
      <c r="F46" s="67"/>
      <c r="G46" s="19"/>
      <c r="H46" s="19"/>
      <c r="I46" s="165"/>
      <c r="K46" s="195"/>
      <c r="L46" s="1"/>
    </row>
    <row r="47" spans="1:12" ht="15">
      <c r="A47" s="9"/>
      <c r="B47" s="70"/>
      <c r="C47" s="70"/>
      <c r="D47" s="67"/>
      <c r="E47" s="67"/>
      <c r="F47" s="67"/>
      <c r="G47" s="19"/>
      <c r="H47" s="19"/>
      <c r="I47" s="165"/>
      <c r="K47" s="195"/>
      <c r="L47" s="1"/>
    </row>
    <row r="48" spans="1:12" ht="15">
      <c r="A48" s="9"/>
      <c r="B48" s="329" t="s">
        <v>24</v>
      </c>
      <c r="C48" s="329"/>
      <c r="D48" s="67"/>
      <c r="E48" s="67"/>
      <c r="F48" s="67"/>
      <c r="G48" s="19"/>
      <c r="H48" s="19"/>
      <c r="I48" s="165"/>
      <c r="K48" s="195"/>
      <c r="L48" s="1"/>
    </row>
    <row r="49" spans="1:12" ht="15">
      <c r="A49" s="46">
        <v>140376</v>
      </c>
      <c r="B49" s="314" t="s">
        <v>25</v>
      </c>
      <c r="C49" s="314"/>
      <c r="D49" s="34">
        <v>10000000</v>
      </c>
      <c r="E49" s="34">
        <v>0</v>
      </c>
      <c r="F49" s="66">
        <v>0</v>
      </c>
      <c r="G49" s="34">
        <f>E49+F49</f>
        <v>0</v>
      </c>
      <c r="H49" s="34">
        <f>D49-G49</f>
        <v>10000000</v>
      </c>
      <c r="I49" s="41">
        <f>G49/D49*100</f>
        <v>0</v>
      </c>
      <c r="K49" s="195"/>
      <c r="L49" s="1"/>
    </row>
    <row r="50" spans="1:12" ht="15">
      <c r="A50" s="46">
        <v>140378</v>
      </c>
      <c r="B50" s="314" t="s">
        <v>26</v>
      </c>
      <c r="C50" s="314"/>
      <c r="D50" s="34">
        <v>500000</v>
      </c>
      <c r="E50" s="34">
        <v>0</v>
      </c>
      <c r="F50" s="164">
        <v>0</v>
      </c>
      <c r="G50" s="34">
        <f>E50+F50</f>
        <v>0</v>
      </c>
      <c r="H50" s="34">
        <f>D50-G50</f>
        <v>500000</v>
      </c>
      <c r="I50" s="41">
        <f>G50/D50*100</f>
        <v>0</v>
      </c>
      <c r="K50" s="195"/>
      <c r="L50" s="1"/>
    </row>
    <row r="51" spans="1:12" ht="15.75" thickBot="1">
      <c r="A51" s="40"/>
      <c r="B51" s="328" t="s">
        <v>3</v>
      </c>
      <c r="C51" s="328"/>
      <c r="D51" s="49">
        <f>SUM(D49:D50)</f>
        <v>10500000</v>
      </c>
      <c r="E51" s="49">
        <f>SUM(E49:E50)</f>
        <v>0</v>
      </c>
      <c r="F51" s="44">
        <f>SUM(F49:F50)</f>
        <v>0</v>
      </c>
      <c r="G51" s="44">
        <f>E51+F51</f>
        <v>0</v>
      </c>
      <c r="H51" s="44">
        <f>D51-G51</f>
        <v>10500000</v>
      </c>
      <c r="I51" s="45">
        <f>G51/D51*100</f>
        <v>0</v>
      </c>
      <c r="K51" s="195"/>
      <c r="L51" s="1"/>
    </row>
    <row r="52" spans="1:12" ht="20.25" customHeight="1" thickTop="1">
      <c r="A52" s="9"/>
      <c r="B52" s="337" t="s">
        <v>54</v>
      </c>
      <c r="C52" s="337"/>
      <c r="D52" s="19"/>
      <c r="E52" s="19"/>
      <c r="F52" s="19"/>
      <c r="G52" s="19"/>
      <c r="H52" s="19"/>
      <c r="I52" s="165"/>
      <c r="K52" s="195"/>
      <c r="L52" s="1"/>
    </row>
    <row r="53" spans="1:12" ht="18.75" customHeight="1">
      <c r="A53" s="46"/>
      <c r="B53" s="189" t="s">
        <v>51</v>
      </c>
      <c r="C53" s="189"/>
      <c r="D53" s="39">
        <v>8680000</v>
      </c>
      <c r="E53" s="34">
        <v>0</v>
      </c>
      <c r="F53" s="34">
        <v>0</v>
      </c>
      <c r="G53" s="34">
        <f>E53+F53</f>
        <v>0</v>
      </c>
      <c r="H53" s="39">
        <f>D53-G53</f>
        <v>8680000</v>
      </c>
      <c r="I53" s="201">
        <v>0</v>
      </c>
      <c r="K53" s="195"/>
      <c r="L53" s="1"/>
    </row>
    <row r="54" spans="1:12" ht="23.25" customHeight="1">
      <c r="A54" s="51"/>
      <c r="B54" s="154" t="s">
        <v>27</v>
      </c>
      <c r="C54" s="154"/>
      <c r="D54" s="310"/>
      <c r="E54" s="310"/>
      <c r="F54" s="310"/>
      <c r="G54" s="310"/>
      <c r="H54" s="310"/>
      <c r="I54" s="310"/>
      <c r="K54" s="195"/>
      <c r="L54" s="1"/>
    </row>
    <row r="55" spans="1:12" ht="15">
      <c r="A55" s="80">
        <v>140399</v>
      </c>
      <c r="B55" s="311" t="s">
        <v>48</v>
      </c>
      <c r="C55" s="312"/>
      <c r="D55" s="34">
        <v>209132447</v>
      </c>
      <c r="E55" s="34">
        <v>0</v>
      </c>
      <c r="F55" s="66">
        <f>4896000+1044000</f>
        <v>5940000</v>
      </c>
      <c r="G55" s="34">
        <f aca="true" t="shared" si="6" ref="G55:G61">E55+F55</f>
        <v>5940000</v>
      </c>
      <c r="H55" s="34">
        <f aca="true" t="shared" si="7" ref="H55:H62">D55-G55</f>
        <v>203192447</v>
      </c>
      <c r="I55" s="41">
        <f>G55/D55*100</f>
        <v>2.840305311399144</v>
      </c>
      <c r="K55" s="195"/>
      <c r="L55" s="1"/>
    </row>
    <row r="56" spans="1:12" ht="15">
      <c r="A56" s="46"/>
      <c r="B56" s="189" t="s">
        <v>49</v>
      </c>
      <c r="C56" s="189"/>
      <c r="D56" s="34">
        <v>10000000</v>
      </c>
      <c r="E56" s="34">
        <v>0</v>
      </c>
      <c r="F56" s="66">
        <v>0</v>
      </c>
      <c r="G56" s="34">
        <f t="shared" si="6"/>
        <v>0</v>
      </c>
      <c r="H56" s="34">
        <f t="shared" si="7"/>
        <v>10000000</v>
      </c>
      <c r="I56" s="41">
        <f>G56/D56*100</f>
        <v>0</v>
      </c>
      <c r="K56" s="195"/>
      <c r="L56" s="1"/>
    </row>
    <row r="57" spans="1:12" ht="15">
      <c r="A57" s="46"/>
      <c r="B57" s="311" t="s">
        <v>50</v>
      </c>
      <c r="C57" s="312"/>
      <c r="D57" s="34">
        <v>13500000</v>
      </c>
      <c r="E57" s="34">
        <v>0</v>
      </c>
      <c r="F57" s="34">
        <f>80995</f>
        <v>80995</v>
      </c>
      <c r="G57" s="34">
        <f t="shared" si="6"/>
        <v>80995</v>
      </c>
      <c r="H57" s="34">
        <f t="shared" si="7"/>
        <v>13419005</v>
      </c>
      <c r="I57" s="41">
        <f>G57/D57*100</f>
        <v>0.599962962962963</v>
      </c>
      <c r="K57" s="195"/>
      <c r="L57" s="1"/>
    </row>
    <row r="58" spans="1:12" ht="15.75" thickBot="1">
      <c r="A58" s="46"/>
      <c r="B58" s="313" t="s">
        <v>3</v>
      </c>
      <c r="C58" s="313"/>
      <c r="D58" s="49">
        <f>SUM(D55:D57)</f>
        <v>232632447</v>
      </c>
      <c r="E58" s="49">
        <f>SUM(E55:E57)</f>
        <v>0</v>
      </c>
      <c r="F58" s="44">
        <f>SUM(F53:F57)</f>
        <v>6020995</v>
      </c>
      <c r="G58" s="44">
        <f>E58+F58</f>
        <v>6020995</v>
      </c>
      <c r="H58" s="44">
        <f t="shared" si="7"/>
        <v>226611452</v>
      </c>
      <c r="I58" s="45">
        <f>G58/D58*100</f>
        <v>2.5882008626251523</v>
      </c>
      <c r="K58" s="195"/>
      <c r="L58" s="1"/>
    </row>
    <row r="59" spans="1:12" ht="15.75" thickTop="1">
      <c r="A59" s="9"/>
      <c r="B59" s="315"/>
      <c r="C59" s="315"/>
      <c r="D59" s="19"/>
      <c r="E59" s="19"/>
      <c r="F59" s="19"/>
      <c r="G59" s="26"/>
      <c r="H59" s="26"/>
      <c r="I59" s="165"/>
      <c r="K59" s="195"/>
      <c r="L59" s="1"/>
    </row>
    <row r="60" spans="1:12" ht="15">
      <c r="A60" s="9"/>
      <c r="B60" s="149" t="s">
        <v>28</v>
      </c>
      <c r="C60" s="149"/>
      <c r="D60" s="19"/>
      <c r="E60" s="19"/>
      <c r="F60" s="19"/>
      <c r="G60" s="26"/>
      <c r="H60" s="26"/>
      <c r="I60" s="165"/>
      <c r="K60" s="195"/>
      <c r="L60" s="1"/>
    </row>
    <row r="61" spans="1:12" ht="15">
      <c r="A61" s="46">
        <v>140384</v>
      </c>
      <c r="B61" s="314" t="s">
        <v>29</v>
      </c>
      <c r="C61" s="314"/>
      <c r="D61" s="34">
        <v>53500000</v>
      </c>
      <c r="E61" s="34">
        <v>0</v>
      </c>
      <c r="F61" s="56">
        <v>0</v>
      </c>
      <c r="G61" s="181">
        <f t="shared" si="6"/>
        <v>0</v>
      </c>
      <c r="H61" s="39">
        <f t="shared" si="7"/>
        <v>53500000</v>
      </c>
      <c r="I61" s="182">
        <f>G61/D61*100</f>
        <v>0</v>
      </c>
      <c r="K61" s="195"/>
      <c r="L61" s="1"/>
    </row>
    <row r="62" spans="1:12" ht="15.75" thickBot="1">
      <c r="A62" s="203"/>
      <c r="B62" s="316" t="s">
        <v>30</v>
      </c>
      <c r="C62" s="316"/>
      <c r="D62" s="49">
        <f>D18+D24+D33+D39+D44+D51+D61+D53+D58</f>
        <v>3091059451</v>
      </c>
      <c r="E62" s="49">
        <f>E18+E24+E33+E39+E44+E51+E61+E53+E58</f>
        <v>0</v>
      </c>
      <c r="F62" s="49">
        <f>F18+F24+F33+F39+F44+F51+F61+F53+F58</f>
        <v>166193886.79</v>
      </c>
      <c r="G62" s="44">
        <f>E62+F62</f>
        <v>166193886.79</v>
      </c>
      <c r="H62" s="44">
        <f t="shared" si="7"/>
        <v>2924865564.21</v>
      </c>
      <c r="I62" s="45">
        <f aca="true" t="shared" si="8" ref="I62:I73">G62/D62*100</f>
        <v>5.376599493621321</v>
      </c>
      <c r="K62" s="26"/>
      <c r="L62" s="1"/>
    </row>
    <row r="63" spans="1:12" ht="15.75" thickTop="1">
      <c r="A63" s="2"/>
      <c r="B63" s="315"/>
      <c r="C63" s="315"/>
      <c r="D63" s="19"/>
      <c r="E63" s="19"/>
      <c r="F63" s="19"/>
      <c r="G63" s="19"/>
      <c r="H63" s="21"/>
      <c r="I63" s="166"/>
      <c r="K63" s="192"/>
      <c r="L63" s="1"/>
    </row>
    <row r="64" spans="1:12" ht="15">
      <c r="A64" s="319" t="s">
        <v>79</v>
      </c>
      <c r="B64" s="319"/>
      <c r="C64" s="319"/>
      <c r="D64" s="168"/>
      <c r="E64" s="168"/>
      <c r="F64" s="168"/>
      <c r="G64" s="168"/>
      <c r="H64" s="168"/>
      <c r="I64" s="168"/>
      <c r="K64" s="192"/>
      <c r="L64" s="1"/>
    </row>
    <row r="65" spans="1:12" ht="15">
      <c r="A65" s="73">
        <v>210101</v>
      </c>
      <c r="B65" s="332" t="s">
        <v>1077</v>
      </c>
      <c r="C65" s="332"/>
      <c r="D65" s="34">
        <f>1349745600+760182000</f>
        <v>2109927600</v>
      </c>
      <c r="E65" s="34">
        <v>0</v>
      </c>
      <c r="F65" s="34">
        <f>694872.77+53640224.36+17731050.11</f>
        <v>72066147.24000001</v>
      </c>
      <c r="G65" s="34">
        <f>E65+F65</f>
        <v>72066147.24000001</v>
      </c>
      <c r="H65" s="34">
        <f>D65-G65</f>
        <v>2037861452.76</v>
      </c>
      <c r="I65" s="41">
        <f t="shared" si="8"/>
        <v>3.4155744130746477</v>
      </c>
      <c r="K65" s="195"/>
      <c r="L65" s="1"/>
    </row>
    <row r="66" spans="1:12" ht="15">
      <c r="A66" s="73">
        <v>210101</v>
      </c>
      <c r="B66" s="332" t="s">
        <v>33</v>
      </c>
      <c r="C66" s="332"/>
      <c r="D66" s="34">
        <v>191052000</v>
      </c>
      <c r="E66" s="34">
        <v>0</v>
      </c>
      <c r="F66" s="34">
        <v>5860140.99</v>
      </c>
      <c r="G66" s="34">
        <f aca="true" t="shared" si="9" ref="G66:G72">E66+F66</f>
        <v>5860140.99</v>
      </c>
      <c r="H66" s="34">
        <f aca="true" t="shared" si="10" ref="H66:H72">D66-G66</f>
        <v>185191859.01</v>
      </c>
      <c r="I66" s="41">
        <f t="shared" si="8"/>
        <v>3.0673015671126187</v>
      </c>
      <c r="K66" s="195"/>
      <c r="L66" s="1"/>
    </row>
    <row r="67" spans="1:12" ht="15">
      <c r="A67" s="73">
        <v>210101</v>
      </c>
      <c r="B67" s="333" t="s">
        <v>1078</v>
      </c>
      <c r="C67" s="334"/>
      <c r="D67" s="34">
        <v>490596000</v>
      </c>
      <c r="E67" s="34">
        <v>0</v>
      </c>
      <c r="F67" s="34">
        <v>19653196.8</v>
      </c>
      <c r="G67" s="34">
        <f t="shared" si="9"/>
        <v>19653196.8</v>
      </c>
      <c r="H67" s="34">
        <f t="shared" si="10"/>
        <v>470942803.2</v>
      </c>
      <c r="I67" s="41">
        <f t="shared" si="8"/>
        <v>4.005983905290708</v>
      </c>
      <c r="K67" s="195"/>
      <c r="L67" s="1"/>
    </row>
    <row r="68" spans="1:12" ht="15">
      <c r="A68" s="73">
        <v>210101</v>
      </c>
      <c r="B68" s="314" t="s">
        <v>52</v>
      </c>
      <c r="C68" s="314"/>
      <c r="D68" s="34">
        <f>11499696000+69011280</f>
        <v>11568707280</v>
      </c>
      <c r="E68" s="34">
        <v>0</v>
      </c>
      <c r="F68" s="34">
        <f>3109919.8+352821746.72</f>
        <v>355931666.52000004</v>
      </c>
      <c r="G68" s="34">
        <f t="shared" si="9"/>
        <v>355931666.52000004</v>
      </c>
      <c r="H68" s="34">
        <f t="shared" si="10"/>
        <v>11212775613.48</v>
      </c>
      <c r="I68" s="41">
        <f t="shared" si="8"/>
        <v>3.0766762258332467</v>
      </c>
      <c r="K68" s="195"/>
      <c r="L68" s="1"/>
    </row>
    <row r="69" spans="1:12" ht="15">
      <c r="A69" s="73">
        <v>210101</v>
      </c>
      <c r="B69" s="314" t="s">
        <v>55</v>
      </c>
      <c r="C69" s="314"/>
      <c r="D69" s="34">
        <v>4148222400</v>
      </c>
      <c r="E69" s="34">
        <v>0</v>
      </c>
      <c r="F69" s="34">
        <v>157312900.56</v>
      </c>
      <c r="G69" s="34">
        <f t="shared" si="9"/>
        <v>157312900.56</v>
      </c>
      <c r="H69" s="34">
        <f t="shared" si="10"/>
        <v>3990909499.44</v>
      </c>
      <c r="I69" s="41">
        <f t="shared" si="8"/>
        <v>3.792296684960768</v>
      </c>
      <c r="K69" s="195"/>
      <c r="L69" s="1"/>
    </row>
    <row r="70" spans="1:12" ht="15">
      <c r="A70" s="73">
        <v>210101</v>
      </c>
      <c r="B70" s="314" t="s">
        <v>31</v>
      </c>
      <c r="C70" s="314"/>
      <c r="D70" s="34">
        <f>1871172000+759912000+9044400+499704000</f>
        <v>3139832400</v>
      </c>
      <c r="E70" s="34">
        <v>0</v>
      </c>
      <c r="F70" s="34">
        <f>10403365.87+278890.85+28028302.82+47580182+2964376.84</f>
        <v>89255118.38</v>
      </c>
      <c r="G70" s="34">
        <f t="shared" si="9"/>
        <v>89255118.38</v>
      </c>
      <c r="H70" s="34">
        <f t="shared" si="10"/>
        <v>3050577281.62</v>
      </c>
      <c r="I70" s="41">
        <f t="shared" si="8"/>
        <v>2.842671423481075</v>
      </c>
      <c r="K70" s="195"/>
      <c r="L70" s="1"/>
    </row>
    <row r="71" spans="1:12" ht="15">
      <c r="A71" s="73">
        <v>210101</v>
      </c>
      <c r="B71" s="314" t="s">
        <v>35</v>
      </c>
      <c r="C71" s="314"/>
      <c r="D71" s="34">
        <v>54540000</v>
      </c>
      <c r="E71" s="34">
        <v>0</v>
      </c>
      <c r="F71" s="34">
        <v>1791437.19</v>
      </c>
      <c r="G71" s="34">
        <f t="shared" si="9"/>
        <v>1791437.19</v>
      </c>
      <c r="H71" s="34">
        <f t="shared" si="10"/>
        <v>52748562.81</v>
      </c>
      <c r="I71" s="41">
        <f t="shared" si="8"/>
        <v>3.2846299779977994</v>
      </c>
      <c r="K71" s="195"/>
      <c r="L71" s="1"/>
    </row>
    <row r="72" spans="1:12" ht="15">
      <c r="A72" s="73">
        <v>210101</v>
      </c>
      <c r="B72" s="314" t="s">
        <v>32</v>
      </c>
      <c r="C72" s="314"/>
      <c r="D72" s="34">
        <v>73668000</v>
      </c>
      <c r="E72" s="34">
        <v>0</v>
      </c>
      <c r="F72" s="34">
        <v>3373063.52</v>
      </c>
      <c r="G72" s="34">
        <f t="shared" si="9"/>
        <v>3373063.52</v>
      </c>
      <c r="H72" s="34">
        <f t="shared" si="10"/>
        <v>70294936.48</v>
      </c>
      <c r="I72" s="41">
        <f t="shared" si="8"/>
        <v>4.578736384861813</v>
      </c>
      <c r="K72" s="195"/>
      <c r="L72" s="1"/>
    </row>
    <row r="73" spans="1:12" ht="15.75" thickBot="1">
      <c r="A73" s="204"/>
      <c r="B73" s="335" t="s">
        <v>1079</v>
      </c>
      <c r="C73" s="336"/>
      <c r="D73" s="44">
        <f>SUM(D65:D72)</f>
        <v>21776545680</v>
      </c>
      <c r="E73" s="44">
        <f>SUM(E65:E72)</f>
        <v>0</v>
      </c>
      <c r="F73" s="44">
        <f>SUM(F65:F72)</f>
        <v>705243671.2000002</v>
      </c>
      <c r="G73" s="44">
        <f>SUM(G65:G72)</f>
        <v>705243671.2000002</v>
      </c>
      <c r="H73" s="44">
        <f>D73-G73</f>
        <v>21071302008.8</v>
      </c>
      <c r="I73" s="45">
        <f t="shared" si="8"/>
        <v>3.2385470200983693</v>
      </c>
      <c r="K73" s="195"/>
      <c r="L73" s="1"/>
    </row>
    <row r="74" spans="1:12" ht="15.75" thickTop="1">
      <c r="A74" s="199"/>
      <c r="B74" s="200"/>
      <c r="C74" s="200"/>
      <c r="D74" s="26"/>
      <c r="E74" s="26"/>
      <c r="F74" s="26"/>
      <c r="G74" s="26"/>
      <c r="H74" s="26"/>
      <c r="I74" s="167"/>
      <c r="K74" s="195"/>
      <c r="L74" s="1"/>
    </row>
    <row r="75" spans="1:12" ht="15">
      <c r="A75" s="199"/>
      <c r="B75" s="200"/>
      <c r="C75" s="200"/>
      <c r="D75" s="26"/>
      <c r="E75" s="26"/>
      <c r="F75" s="26"/>
      <c r="G75" s="26"/>
      <c r="H75" s="26"/>
      <c r="I75" s="167"/>
      <c r="K75" s="195"/>
      <c r="L75" s="1"/>
    </row>
    <row r="76" spans="1:12" ht="15">
      <c r="A76" s="72"/>
      <c r="B76" s="318" t="s">
        <v>44</v>
      </c>
      <c r="C76" s="318"/>
      <c r="D76" s="26"/>
      <c r="E76" s="26"/>
      <c r="F76" s="26"/>
      <c r="G76" s="21"/>
      <c r="H76" s="21"/>
      <c r="I76" s="166"/>
      <c r="K76" s="195"/>
      <c r="L76" s="1"/>
    </row>
    <row r="77" spans="1:12" ht="15">
      <c r="A77" s="33">
        <v>130202</v>
      </c>
      <c r="B77" s="314" t="s">
        <v>1168</v>
      </c>
      <c r="C77" s="314"/>
      <c r="D77" s="34">
        <v>142400000</v>
      </c>
      <c r="E77" s="34">
        <v>0</v>
      </c>
      <c r="F77" s="34">
        <v>0</v>
      </c>
      <c r="G77" s="34">
        <f aca="true" t="shared" si="11" ref="G77:G102">E77+F77</f>
        <v>0</v>
      </c>
      <c r="H77" s="34">
        <f aca="true" t="shared" si="12" ref="H77:H100">D77-G77</f>
        <v>142400000</v>
      </c>
      <c r="I77" s="41">
        <f aca="true" t="shared" si="13" ref="I77:I103">G77/D77*100</f>
        <v>0</v>
      </c>
      <c r="K77" s="195"/>
      <c r="L77" s="1"/>
    </row>
    <row r="78" spans="1:12" ht="15">
      <c r="A78" s="33"/>
      <c r="B78" s="311" t="s">
        <v>1161</v>
      </c>
      <c r="C78" s="312"/>
      <c r="D78" s="34">
        <v>28920000</v>
      </c>
      <c r="E78" s="34">
        <v>0</v>
      </c>
      <c r="F78" s="34"/>
      <c r="G78" s="34"/>
      <c r="H78" s="34">
        <f t="shared" si="12"/>
        <v>28920000</v>
      </c>
      <c r="I78" s="41">
        <f t="shared" si="13"/>
        <v>0</v>
      </c>
      <c r="K78" s="195"/>
      <c r="L78" s="1"/>
    </row>
    <row r="79" spans="1:12" ht="15">
      <c r="A79" s="33">
        <v>130202</v>
      </c>
      <c r="B79" s="314" t="s">
        <v>1162</v>
      </c>
      <c r="C79" s="314"/>
      <c r="D79" s="34">
        <f>40375000+78672000</f>
        <v>119047000</v>
      </c>
      <c r="E79" s="34">
        <v>0</v>
      </c>
      <c r="F79" s="34">
        <v>0</v>
      </c>
      <c r="G79" s="34">
        <f t="shared" si="11"/>
        <v>0</v>
      </c>
      <c r="H79" s="34">
        <f t="shared" si="12"/>
        <v>119047000</v>
      </c>
      <c r="I79" s="41">
        <f t="shared" si="13"/>
        <v>0</v>
      </c>
      <c r="K79" s="195"/>
      <c r="L79" s="1"/>
    </row>
    <row r="80" spans="1:12" ht="15">
      <c r="A80" s="33"/>
      <c r="B80" s="314" t="s">
        <v>34</v>
      </c>
      <c r="C80" s="314"/>
      <c r="D80" s="34">
        <v>524290000</v>
      </c>
      <c r="E80" s="34">
        <v>0</v>
      </c>
      <c r="F80" s="34">
        <v>0</v>
      </c>
      <c r="G80" s="34">
        <f t="shared" si="11"/>
        <v>0</v>
      </c>
      <c r="H80" s="34">
        <f t="shared" si="12"/>
        <v>524290000</v>
      </c>
      <c r="I80" s="41">
        <f t="shared" si="13"/>
        <v>0</v>
      </c>
      <c r="K80" s="195"/>
      <c r="L80" s="1"/>
    </row>
    <row r="81" spans="1:12" ht="15">
      <c r="A81" s="33"/>
      <c r="B81" s="314" t="s">
        <v>1080</v>
      </c>
      <c r="C81" s="314"/>
      <c r="D81" s="34">
        <v>62865000</v>
      </c>
      <c r="E81" s="34">
        <v>0</v>
      </c>
      <c r="F81" s="34">
        <v>0</v>
      </c>
      <c r="G81" s="34">
        <f t="shared" si="11"/>
        <v>0</v>
      </c>
      <c r="H81" s="34">
        <f t="shared" si="12"/>
        <v>62865000</v>
      </c>
      <c r="I81" s="41">
        <f t="shared" si="13"/>
        <v>0</v>
      </c>
      <c r="K81" s="195"/>
      <c r="L81" s="1"/>
    </row>
    <row r="82" spans="1:12" ht="15">
      <c r="A82" s="33"/>
      <c r="B82" s="314" t="s">
        <v>1083</v>
      </c>
      <c r="C82" s="314"/>
      <c r="D82" s="34">
        <v>89808000</v>
      </c>
      <c r="E82" s="34">
        <v>0</v>
      </c>
      <c r="F82" s="34">
        <v>0</v>
      </c>
      <c r="G82" s="34">
        <f t="shared" si="11"/>
        <v>0</v>
      </c>
      <c r="H82" s="34">
        <f t="shared" si="12"/>
        <v>89808000</v>
      </c>
      <c r="I82" s="41">
        <f t="shared" si="13"/>
        <v>0</v>
      </c>
      <c r="K82" s="195"/>
      <c r="L82" s="1"/>
    </row>
    <row r="83" spans="1:12" ht="15">
      <c r="A83" s="33"/>
      <c r="B83" s="311" t="s">
        <v>1166</v>
      </c>
      <c r="C83" s="312"/>
      <c r="D83" s="34">
        <f>29373000+144576000</f>
        <v>173949000</v>
      </c>
      <c r="E83" s="34">
        <v>0</v>
      </c>
      <c r="F83" s="34">
        <v>0</v>
      </c>
      <c r="G83" s="34">
        <v>0</v>
      </c>
      <c r="H83" s="34">
        <f t="shared" si="12"/>
        <v>173949000</v>
      </c>
      <c r="I83" s="41">
        <f t="shared" si="13"/>
        <v>0</v>
      </c>
      <c r="K83" s="195"/>
      <c r="L83" s="1"/>
    </row>
    <row r="84" spans="1:12" ht="15">
      <c r="A84" s="33">
        <v>130202</v>
      </c>
      <c r="B84" s="314" t="s">
        <v>1160</v>
      </c>
      <c r="C84" s="314"/>
      <c r="D84" s="34">
        <f>120840000+6120000+26244000+20000000+49407000+89964000</f>
        <v>312575000</v>
      </c>
      <c r="E84" s="34">
        <v>0</v>
      </c>
      <c r="F84" s="34">
        <v>0</v>
      </c>
      <c r="G84" s="34">
        <f t="shared" si="11"/>
        <v>0</v>
      </c>
      <c r="H84" s="34">
        <f t="shared" si="12"/>
        <v>312575000</v>
      </c>
      <c r="I84" s="41">
        <f t="shared" si="13"/>
        <v>0</v>
      </c>
      <c r="K84" s="195"/>
      <c r="L84" s="1"/>
    </row>
    <row r="85" spans="1:12" ht="15">
      <c r="A85" s="33"/>
      <c r="B85" s="314" t="s">
        <v>56</v>
      </c>
      <c r="C85" s="314"/>
      <c r="D85" s="34">
        <v>154875000</v>
      </c>
      <c r="E85" s="34">
        <v>0</v>
      </c>
      <c r="F85" s="34">
        <v>0</v>
      </c>
      <c r="G85" s="34">
        <f t="shared" si="11"/>
        <v>0</v>
      </c>
      <c r="H85" s="34">
        <f t="shared" si="12"/>
        <v>154875000</v>
      </c>
      <c r="I85" s="41">
        <f t="shared" si="13"/>
        <v>0</v>
      </c>
      <c r="K85" s="195"/>
      <c r="L85" s="1"/>
    </row>
    <row r="86" spans="1:12" ht="15">
      <c r="A86" s="33"/>
      <c r="B86" s="314" t="s">
        <v>1081</v>
      </c>
      <c r="C86" s="314"/>
      <c r="D86" s="34">
        <v>17465000</v>
      </c>
      <c r="E86" s="34">
        <v>0</v>
      </c>
      <c r="F86" s="34">
        <v>0</v>
      </c>
      <c r="G86" s="34">
        <f t="shared" si="11"/>
        <v>0</v>
      </c>
      <c r="H86" s="34">
        <f t="shared" si="12"/>
        <v>17465000</v>
      </c>
      <c r="I86" s="41">
        <f t="shared" si="13"/>
        <v>0</v>
      </c>
      <c r="K86" s="195"/>
      <c r="L86" s="1"/>
    </row>
    <row r="87" spans="1:12" ht="15">
      <c r="A87" s="33"/>
      <c r="B87" s="314" t="s">
        <v>1082</v>
      </c>
      <c r="C87" s="314"/>
      <c r="D87" s="34">
        <v>6264000</v>
      </c>
      <c r="E87" s="34">
        <v>0</v>
      </c>
      <c r="F87" s="34">
        <v>0</v>
      </c>
      <c r="G87" s="34">
        <f t="shared" si="11"/>
        <v>0</v>
      </c>
      <c r="H87" s="34">
        <f t="shared" si="12"/>
        <v>6264000</v>
      </c>
      <c r="I87" s="41">
        <f t="shared" si="13"/>
        <v>0</v>
      </c>
      <c r="K87" s="195"/>
      <c r="L87" s="1"/>
    </row>
    <row r="88" spans="1:12" ht="15">
      <c r="A88" s="33"/>
      <c r="B88" s="311" t="s">
        <v>1167</v>
      </c>
      <c r="C88" s="312"/>
      <c r="D88" s="34">
        <f>36371000+61003000</f>
        <v>97374000</v>
      </c>
      <c r="E88" s="34">
        <v>0</v>
      </c>
      <c r="F88" s="34"/>
      <c r="G88" s="34"/>
      <c r="H88" s="34">
        <f t="shared" si="12"/>
        <v>97374000</v>
      </c>
      <c r="I88" s="41">
        <f t="shared" si="13"/>
        <v>0</v>
      </c>
      <c r="K88" s="195"/>
      <c r="L88" s="1"/>
    </row>
    <row r="89" spans="1:12" ht="15">
      <c r="A89" s="33">
        <v>130202</v>
      </c>
      <c r="B89" s="314" t="s">
        <v>1169</v>
      </c>
      <c r="C89" s="314"/>
      <c r="D89" s="34">
        <v>16432000</v>
      </c>
      <c r="E89" s="34">
        <v>0</v>
      </c>
      <c r="F89" s="34">
        <v>0</v>
      </c>
      <c r="G89" s="34">
        <f>E89+F89</f>
        <v>0</v>
      </c>
      <c r="H89" s="34">
        <f t="shared" si="12"/>
        <v>16432000</v>
      </c>
      <c r="I89" s="41">
        <f t="shared" si="13"/>
        <v>0</v>
      </c>
      <c r="K89" s="195"/>
      <c r="L89" s="1"/>
    </row>
    <row r="90" spans="1:12" ht="15">
      <c r="A90" s="33">
        <v>130202</v>
      </c>
      <c r="B90" s="314" t="s">
        <v>1170</v>
      </c>
      <c r="C90" s="314"/>
      <c r="D90" s="34">
        <v>13244000</v>
      </c>
      <c r="E90" s="34">
        <v>0</v>
      </c>
      <c r="F90" s="34">
        <v>0</v>
      </c>
      <c r="G90" s="34">
        <f t="shared" si="11"/>
        <v>0</v>
      </c>
      <c r="H90" s="34">
        <f t="shared" si="12"/>
        <v>13244000</v>
      </c>
      <c r="I90" s="41">
        <f t="shared" si="13"/>
        <v>0</v>
      </c>
      <c r="K90" s="195"/>
      <c r="L90" s="1"/>
    </row>
    <row r="91" spans="1:12" ht="15">
      <c r="A91" s="33">
        <v>130202</v>
      </c>
      <c r="B91" s="311" t="s">
        <v>1171</v>
      </c>
      <c r="C91" s="312"/>
      <c r="D91" s="71">
        <v>64382000</v>
      </c>
      <c r="E91" s="34">
        <v>0</v>
      </c>
      <c r="F91" s="34"/>
      <c r="G91" s="34"/>
      <c r="H91" s="34">
        <f t="shared" si="12"/>
        <v>64382000</v>
      </c>
      <c r="I91" s="41">
        <f t="shared" si="13"/>
        <v>0</v>
      </c>
      <c r="K91" s="195"/>
      <c r="L91" s="1"/>
    </row>
    <row r="92" spans="1:12" ht="15">
      <c r="A92" s="33">
        <v>130202</v>
      </c>
      <c r="B92" s="311" t="s">
        <v>1172</v>
      </c>
      <c r="C92" s="312"/>
      <c r="D92" s="71">
        <v>18000000</v>
      </c>
      <c r="E92" s="34">
        <v>0</v>
      </c>
      <c r="F92" s="34">
        <v>0</v>
      </c>
      <c r="G92" s="34">
        <f t="shared" si="11"/>
        <v>0</v>
      </c>
      <c r="H92" s="34">
        <f t="shared" si="12"/>
        <v>18000000</v>
      </c>
      <c r="I92" s="41">
        <f t="shared" si="13"/>
        <v>0</v>
      </c>
      <c r="K92" s="195"/>
      <c r="L92" s="1"/>
    </row>
    <row r="93" spans="1:12" ht="15">
      <c r="A93" s="33">
        <v>130202</v>
      </c>
      <c r="B93" s="311" t="s">
        <v>1173</v>
      </c>
      <c r="C93" s="312"/>
      <c r="D93" s="71">
        <v>18000000</v>
      </c>
      <c r="E93" s="34">
        <v>0</v>
      </c>
      <c r="F93" s="34">
        <v>0</v>
      </c>
      <c r="G93" s="34">
        <f t="shared" si="11"/>
        <v>0</v>
      </c>
      <c r="H93" s="34">
        <f t="shared" si="12"/>
        <v>18000000</v>
      </c>
      <c r="I93" s="41">
        <f t="shared" si="13"/>
        <v>0</v>
      </c>
      <c r="K93" s="195"/>
      <c r="L93" s="1"/>
    </row>
    <row r="94" spans="1:12" ht="15">
      <c r="A94" s="33">
        <v>130202</v>
      </c>
      <c r="B94" s="314" t="s">
        <v>1174</v>
      </c>
      <c r="C94" s="314"/>
      <c r="D94" s="34">
        <v>12000000</v>
      </c>
      <c r="E94" s="34">
        <v>0</v>
      </c>
      <c r="F94" s="34">
        <v>0</v>
      </c>
      <c r="G94" s="34">
        <f>E94+F94</f>
        <v>0</v>
      </c>
      <c r="H94" s="34">
        <f>D94-G94</f>
        <v>12000000</v>
      </c>
      <c r="I94" s="41">
        <f t="shared" si="13"/>
        <v>0</v>
      </c>
      <c r="K94" s="195"/>
      <c r="L94" s="1"/>
    </row>
    <row r="95" spans="1:12" ht="15">
      <c r="A95" s="33">
        <v>130202</v>
      </c>
      <c r="B95" s="311" t="s">
        <v>1175</v>
      </c>
      <c r="C95" s="312"/>
      <c r="D95" s="71">
        <v>12000000</v>
      </c>
      <c r="E95" s="34">
        <v>0</v>
      </c>
      <c r="F95" s="34">
        <v>0</v>
      </c>
      <c r="G95" s="34">
        <f>E95+F95</f>
        <v>0</v>
      </c>
      <c r="H95" s="34">
        <f>D95-G95</f>
        <v>12000000</v>
      </c>
      <c r="I95" s="41">
        <f t="shared" si="13"/>
        <v>0</v>
      </c>
      <c r="K95" s="192"/>
      <c r="L95" s="1"/>
    </row>
    <row r="96" spans="1:12" ht="15">
      <c r="A96" s="33">
        <v>130202</v>
      </c>
      <c r="B96" s="311" t="s">
        <v>1176</v>
      </c>
      <c r="C96" s="312"/>
      <c r="D96" s="71">
        <v>12000000</v>
      </c>
      <c r="E96" s="34">
        <v>0</v>
      </c>
      <c r="F96" s="34">
        <v>0</v>
      </c>
      <c r="G96" s="34">
        <f t="shared" si="11"/>
        <v>0</v>
      </c>
      <c r="H96" s="34">
        <f t="shared" si="12"/>
        <v>12000000</v>
      </c>
      <c r="I96" s="41">
        <f t="shared" si="13"/>
        <v>0</v>
      </c>
      <c r="K96" s="195"/>
      <c r="L96" s="1"/>
    </row>
    <row r="97" spans="1:12" ht="15">
      <c r="A97" s="33">
        <v>130202</v>
      </c>
      <c r="B97" s="311" t="s">
        <v>1177</v>
      </c>
      <c r="C97" s="312"/>
      <c r="D97" s="71">
        <v>12000000</v>
      </c>
      <c r="E97" s="34">
        <v>0</v>
      </c>
      <c r="F97" s="34">
        <v>0</v>
      </c>
      <c r="G97" s="34">
        <f t="shared" si="11"/>
        <v>0</v>
      </c>
      <c r="H97" s="34">
        <f t="shared" si="12"/>
        <v>12000000</v>
      </c>
      <c r="I97" s="41">
        <f t="shared" si="13"/>
        <v>0</v>
      </c>
      <c r="K97" s="195"/>
      <c r="L97" s="1"/>
    </row>
    <row r="98" spans="1:12" ht="15">
      <c r="A98" s="33">
        <v>130202</v>
      </c>
      <c r="B98" s="311" t="s">
        <v>1178</v>
      </c>
      <c r="C98" s="312"/>
      <c r="D98" s="71">
        <v>12000000</v>
      </c>
      <c r="E98" s="34">
        <v>0</v>
      </c>
      <c r="F98" s="34">
        <v>0</v>
      </c>
      <c r="G98" s="34">
        <f t="shared" si="11"/>
        <v>0</v>
      </c>
      <c r="H98" s="34">
        <f t="shared" si="12"/>
        <v>12000000</v>
      </c>
      <c r="I98" s="41">
        <f t="shared" si="13"/>
        <v>0</v>
      </c>
      <c r="K98" s="195"/>
      <c r="L98" s="1"/>
    </row>
    <row r="99" spans="1:12" ht="15">
      <c r="A99" s="33">
        <v>130202</v>
      </c>
      <c r="B99" s="311" t="s">
        <v>1179</v>
      </c>
      <c r="C99" s="312"/>
      <c r="D99" s="71">
        <v>12000000</v>
      </c>
      <c r="E99" s="34">
        <v>0</v>
      </c>
      <c r="F99" s="34">
        <v>0</v>
      </c>
      <c r="G99" s="34">
        <f t="shared" si="11"/>
        <v>0</v>
      </c>
      <c r="H99" s="34">
        <f t="shared" si="12"/>
        <v>12000000</v>
      </c>
      <c r="I99" s="41">
        <f t="shared" si="13"/>
        <v>0</v>
      </c>
      <c r="K99" s="195"/>
      <c r="L99" s="1"/>
    </row>
    <row r="100" spans="1:12" ht="15">
      <c r="A100" s="33">
        <v>130202</v>
      </c>
      <c r="B100" s="311" t="s">
        <v>1180</v>
      </c>
      <c r="C100" s="312"/>
      <c r="D100" s="71">
        <v>12000000</v>
      </c>
      <c r="E100" s="34">
        <v>0</v>
      </c>
      <c r="F100" s="34">
        <v>0</v>
      </c>
      <c r="G100" s="34">
        <f t="shared" si="11"/>
        <v>0</v>
      </c>
      <c r="H100" s="34">
        <f t="shared" si="12"/>
        <v>12000000</v>
      </c>
      <c r="I100" s="41">
        <f t="shared" si="13"/>
        <v>0</v>
      </c>
      <c r="K100" s="192"/>
      <c r="L100" s="1"/>
    </row>
    <row r="101" spans="1:12" ht="15">
      <c r="A101" s="33">
        <v>130202</v>
      </c>
      <c r="B101" s="314" t="s">
        <v>1181</v>
      </c>
      <c r="C101" s="314"/>
      <c r="D101" s="34">
        <v>20743200</v>
      </c>
      <c r="E101" s="34">
        <v>0</v>
      </c>
      <c r="F101" s="34">
        <v>0</v>
      </c>
      <c r="G101" s="34">
        <f>E101+F101</f>
        <v>0</v>
      </c>
      <c r="H101" s="34">
        <f>D101-G101</f>
        <v>20743200</v>
      </c>
      <c r="I101" s="41">
        <f t="shared" si="13"/>
        <v>0</v>
      </c>
      <c r="K101" s="195"/>
      <c r="L101" s="1"/>
    </row>
    <row r="102" spans="1:12" ht="17.25" customHeight="1">
      <c r="A102" s="33">
        <v>130202</v>
      </c>
      <c r="B102" s="341" t="s">
        <v>1182</v>
      </c>
      <c r="C102" s="342"/>
      <c r="D102" s="58">
        <v>13828800</v>
      </c>
      <c r="E102" s="34">
        <v>0</v>
      </c>
      <c r="F102" s="34">
        <v>0</v>
      </c>
      <c r="G102" s="34">
        <f t="shared" si="11"/>
        <v>0</v>
      </c>
      <c r="H102" s="34">
        <f>D102-G102</f>
        <v>13828800</v>
      </c>
      <c r="I102" s="41">
        <f t="shared" si="13"/>
        <v>0</v>
      </c>
      <c r="K102" s="192"/>
      <c r="L102" s="1"/>
    </row>
    <row r="103" spans="1:12" ht="15.75" thickBot="1">
      <c r="A103" s="40"/>
      <c r="B103" s="328" t="s">
        <v>36</v>
      </c>
      <c r="C103" s="328"/>
      <c r="D103" s="49">
        <f>SUM(D77:D102)</f>
        <v>1978462000</v>
      </c>
      <c r="E103" s="49">
        <f>SUM(E77:E102)</f>
        <v>0</v>
      </c>
      <c r="F103" s="49">
        <f>SUM(F77:F102)</f>
        <v>0</v>
      </c>
      <c r="G103" s="44">
        <f>E103+F103</f>
        <v>0</v>
      </c>
      <c r="H103" s="44">
        <f>D103-G103</f>
        <v>1978462000</v>
      </c>
      <c r="I103" s="45">
        <f t="shared" si="13"/>
        <v>0</v>
      </c>
      <c r="K103" s="195"/>
      <c r="L103" s="1"/>
    </row>
    <row r="104" spans="1:11" s="1" customFormat="1" ht="15.75" thickTop="1">
      <c r="A104" s="9"/>
      <c r="B104" s="70"/>
      <c r="C104" s="70"/>
      <c r="D104" s="67"/>
      <c r="E104" s="67"/>
      <c r="F104" s="26" t="s">
        <v>66</v>
      </c>
      <c r="G104" s="21"/>
      <c r="H104" s="67"/>
      <c r="I104" s="170"/>
      <c r="K104" s="195"/>
    </row>
    <row r="105" spans="1:12" ht="15">
      <c r="A105" s="2"/>
      <c r="B105" s="329" t="s">
        <v>1148</v>
      </c>
      <c r="C105" s="329"/>
      <c r="D105" s="19"/>
      <c r="E105" s="19"/>
      <c r="F105" s="19"/>
      <c r="G105" s="19"/>
      <c r="H105" s="19"/>
      <c r="I105" s="171"/>
      <c r="K105" s="192"/>
      <c r="L105" s="1"/>
    </row>
    <row r="106" spans="1:12" ht="15">
      <c r="A106" s="33">
        <v>130101</v>
      </c>
      <c r="B106" s="314" t="s">
        <v>1150</v>
      </c>
      <c r="C106" s="314"/>
      <c r="D106" s="34">
        <v>1752580000</v>
      </c>
      <c r="E106" s="34">
        <v>0</v>
      </c>
      <c r="F106" s="202">
        <v>0</v>
      </c>
      <c r="G106" s="34">
        <f>E106+G104</f>
        <v>0</v>
      </c>
      <c r="H106" s="34">
        <f aca="true" t="shared" si="14" ref="H106:H112">D106-G106</f>
        <v>1752580000</v>
      </c>
      <c r="I106" s="158">
        <f aca="true" t="shared" si="15" ref="I106:I112">G106/D106*100</f>
        <v>0</v>
      </c>
      <c r="K106" s="195"/>
      <c r="L106" s="1"/>
    </row>
    <row r="107" spans="1:12" ht="15">
      <c r="A107" s="33"/>
      <c r="B107" s="314" t="s">
        <v>1163</v>
      </c>
      <c r="C107" s="314"/>
      <c r="D107" s="34">
        <v>59278000</v>
      </c>
      <c r="E107" s="34">
        <v>0</v>
      </c>
      <c r="F107" s="35">
        <v>0</v>
      </c>
      <c r="G107" s="34">
        <f aca="true" t="shared" si="16" ref="G107:G112">E107+F107</f>
        <v>0</v>
      </c>
      <c r="H107" s="34">
        <f t="shared" si="14"/>
        <v>59278000</v>
      </c>
      <c r="I107" s="158">
        <f t="shared" si="15"/>
        <v>0</v>
      </c>
      <c r="K107" s="192"/>
      <c r="L107" s="1"/>
    </row>
    <row r="108" spans="1:12" ht="15">
      <c r="A108" s="33"/>
      <c r="B108" s="311" t="s">
        <v>1164</v>
      </c>
      <c r="C108" s="312"/>
      <c r="D108" s="34">
        <v>500000000</v>
      </c>
      <c r="E108" s="34">
        <v>0</v>
      </c>
      <c r="F108" s="35">
        <v>0</v>
      </c>
      <c r="G108" s="34">
        <f t="shared" si="16"/>
        <v>0</v>
      </c>
      <c r="H108" s="34">
        <f t="shared" si="14"/>
        <v>500000000</v>
      </c>
      <c r="I108" s="158">
        <f t="shared" si="15"/>
        <v>0</v>
      </c>
      <c r="K108" s="192"/>
      <c r="L108" s="1"/>
    </row>
    <row r="109" spans="1:12" ht="15">
      <c r="A109" s="33">
        <v>130113</v>
      </c>
      <c r="B109" s="314" t="s">
        <v>39</v>
      </c>
      <c r="C109" s="314"/>
      <c r="D109" s="34">
        <v>951960000</v>
      </c>
      <c r="E109" s="34">
        <v>0</v>
      </c>
      <c r="F109" s="34">
        <v>0</v>
      </c>
      <c r="G109" s="34">
        <f t="shared" si="16"/>
        <v>0</v>
      </c>
      <c r="H109" s="34">
        <f t="shared" si="14"/>
        <v>951960000</v>
      </c>
      <c r="I109" s="158">
        <f t="shared" si="15"/>
        <v>0</v>
      </c>
      <c r="K109" s="192"/>
      <c r="L109" s="1"/>
    </row>
    <row r="110" spans="1:12" ht="15">
      <c r="A110" s="33">
        <v>130114</v>
      </c>
      <c r="B110" s="314" t="s">
        <v>1151</v>
      </c>
      <c r="C110" s="314"/>
      <c r="D110" s="34">
        <v>380000000</v>
      </c>
      <c r="E110" s="34">
        <v>0</v>
      </c>
      <c r="F110" s="34">
        <v>0</v>
      </c>
      <c r="G110" s="34">
        <f t="shared" si="16"/>
        <v>0</v>
      </c>
      <c r="H110" s="34">
        <f t="shared" si="14"/>
        <v>380000000</v>
      </c>
      <c r="I110" s="158">
        <f t="shared" si="15"/>
        <v>0</v>
      </c>
      <c r="K110" s="192"/>
      <c r="L110" s="1"/>
    </row>
    <row r="111" spans="1:12" ht="15">
      <c r="A111" s="33"/>
      <c r="B111" s="314" t="s">
        <v>1165</v>
      </c>
      <c r="C111" s="314"/>
      <c r="D111" s="34">
        <v>400000000</v>
      </c>
      <c r="E111" s="34">
        <v>0</v>
      </c>
      <c r="F111" s="37">
        <v>0</v>
      </c>
      <c r="G111" s="34">
        <f t="shared" si="16"/>
        <v>0</v>
      </c>
      <c r="H111" s="34">
        <f t="shared" si="14"/>
        <v>400000000</v>
      </c>
      <c r="I111" s="158">
        <f t="shared" si="15"/>
        <v>0</v>
      </c>
      <c r="L111" s="1"/>
    </row>
    <row r="112" spans="1:9" ht="15">
      <c r="A112" s="205"/>
      <c r="B112" s="330" t="s">
        <v>1149</v>
      </c>
      <c r="C112" s="330"/>
      <c r="D112" s="172">
        <f>SUM(D106:D111)</f>
        <v>4043818000</v>
      </c>
      <c r="E112" s="172">
        <f>SUM(E106:E111)</f>
        <v>0</v>
      </c>
      <c r="F112" s="172">
        <f>SUM(F106:F111)</f>
        <v>0</v>
      </c>
      <c r="G112" s="39">
        <f t="shared" si="16"/>
        <v>0</v>
      </c>
      <c r="H112" s="39">
        <f t="shared" si="14"/>
        <v>4043818000</v>
      </c>
      <c r="I112" s="156">
        <f t="shared" si="15"/>
        <v>0</v>
      </c>
    </row>
    <row r="113" spans="1:9" ht="15">
      <c r="A113" s="27"/>
      <c r="B113" s="68"/>
      <c r="C113" s="68"/>
      <c r="D113" s="67"/>
      <c r="E113" s="67"/>
      <c r="F113" s="67"/>
      <c r="G113" s="26"/>
      <c r="H113" s="26"/>
      <c r="I113" s="198"/>
    </row>
    <row r="114" spans="1:12" ht="15">
      <c r="A114" s="2"/>
      <c r="B114" s="329" t="s">
        <v>1152</v>
      </c>
      <c r="C114" s="329"/>
      <c r="D114" s="19"/>
      <c r="E114" s="19"/>
      <c r="F114" s="19"/>
      <c r="G114" s="19"/>
      <c r="H114" s="19"/>
      <c r="I114" s="171"/>
      <c r="K114" s="192"/>
      <c r="L114" s="1"/>
    </row>
    <row r="115" spans="1:12" ht="15">
      <c r="A115" s="33"/>
      <c r="B115" s="314" t="s">
        <v>1154</v>
      </c>
      <c r="C115" s="314"/>
      <c r="D115" s="34">
        <v>130852000</v>
      </c>
      <c r="E115" s="34">
        <v>0</v>
      </c>
      <c r="F115" s="202">
        <v>0</v>
      </c>
      <c r="G115" s="34">
        <f>E115+G112</f>
        <v>0</v>
      </c>
      <c r="H115" s="34">
        <f aca="true" t="shared" si="17" ref="H115:H124">D115-G115</f>
        <v>130852000</v>
      </c>
      <c r="I115" s="158">
        <f aca="true" t="shared" si="18" ref="I115:I124">G115/D115*100</f>
        <v>0</v>
      </c>
      <c r="K115" s="195"/>
      <c r="L115" s="1"/>
    </row>
    <row r="116" spans="1:12" ht="15">
      <c r="A116" s="33"/>
      <c r="B116" s="314" t="s">
        <v>1151</v>
      </c>
      <c r="C116" s="314"/>
      <c r="D116" s="34">
        <v>194435480</v>
      </c>
      <c r="E116" s="34">
        <v>0</v>
      </c>
      <c r="F116" s="35">
        <v>0</v>
      </c>
      <c r="G116" s="34">
        <f aca="true" t="shared" si="19" ref="G116:G124">E116+F116</f>
        <v>0</v>
      </c>
      <c r="H116" s="34">
        <f t="shared" si="17"/>
        <v>194435480</v>
      </c>
      <c r="I116" s="158">
        <f t="shared" si="18"/>
        <v>0</v>
      </c>
      <c r="K116" s="192"/>
      <c r="L116" s="1"/>
    </row>
    <row r="117" spans="1:12" ht="15">
      <c r="A117" s="33"/>
      <c r="B117" s="311" t="s">
        <v>1155</v>
      </c>
      <c r="C117" s="312"/>
      <c r="D117" s="34">
        <v>553318000</v>
      </c>
      <c r="E117" s="34">
        <v>0</v>
      </c>
      <c r="F117" s="35">
        <v>0</v>
      </c>
      <c r="G117" s="34">
        <f t="shared" si="19"/>
        <v>0</v>
      </c>
      <c r="H117" s="34">
        <f t="shared" si="17"/>
        <v>553318000</v>
      </c>
      <c r="I117" s="158">
        <f t="shared" si="18"/>
        <v>0</v>
      </c>
      <c r="K117" s="192"/>
      <c r="L117" s="1"/>
    </row>
    <row r="118" spans="1:12" ht="15">
      <c r="A118" s="33"/>
      <c r="B118" s="314" t="s">
        <v>1156</v>
      </c>
      <c r="C118" s="314"/>
      <c r="D118" s="34">
        <v>619962000</v>
      </c>
      <c r="E118" s="34">
        <v>0</v>
      </c>
      <c r="F118" s="34">
        <v>0</v>
      </c>
      <c r="G118" s="34">
        <f t="shared" si="19"/>
        <v>0</v>
      </c>
      <c r="H118" s="34">
        <f t="shared" si="17"/>
        <v>619962000</v>
      </c>
      <c r="I118" s="158">
        <f t="shared" si="18"/>
        <v>0</v>
      </c>
      <c r="K118" s="192"/>
      <c r="L118" s="1"/>
    </row>
    <row r="119" spans="1:12" ht="15">
      <c r="A119" s="33"/>
      <c r="B119" s="314" t="s">
        <v>1157</v>
      </c>
      <c r="C119" s="314"/>
      <c r="D119" s="34">
        <v>180000000</v>
      </c>
      <c r="E119" s="34">
        <v>0</v>
      </c>
      <c r="F119" s="34">
        <v>0</v>
      </c>
      <c r="G119" s="34">
        <f t="shared" si="19"/>
        <v>0</v>
      </c>
      <c r="H119" s="34">
        <f t="shared" si="17"/>
        <v>180000000</v>
      </c>
      <c r="I119" s="158">
        <f t="shared" si="18"/>
        <v>0</v>
      </c>
      <c r="K119" s="192"/>
      <c r="L119" s="1"/>
    </row>
    <row r="120" spans="1:12" ht="15">
      <c r="A120" s="33"/>
      <c r="B120" s="311" t="s">
        <v>1158</v>
      </c>
      <c r="C120" s="312"/>
      <c r="D120" s="34">
        <v>918377592</v>
      </c>
      <c r="E120" s="34">
        <v>0</v>
      </c>
      <c r="F120" s="34">
        <v>0</v>
      </c>
      <c r="G120" s="34">
        <f t="shared" si="19"/>
        <v>0</v>
      </c>
      <c r="H120" s="34">
        <f t="shared" si="17"/>
        <v>918377592</v>
      </c>
      <c r="I120" s="158">
        <f t="shared" si="18"/>
        <v>0</v>
      </c>
      <c r="K120" s="192"/>
      <c r="L120" s="1"/>
    </row>
    <row r="121" spans="1:12" ht="15">
      <c r="A121" s="33"/>
      <c r="B121" s="311" t="s">
        <v>1159</v>
      </c>
      <c r="C121" s="312"/>
      <c r="D121" s="34">
        <v>67360000</v>
      </c>
      <c r="E121" s="34">
        <v>0</v>
      </c>
      <c r="F121" s="34">
        <f>21785000</f>
        <v>21785000</v>
      </c>
      <c r="G121" s="34">
        <f t="shared" si="19"/>
        <v>21785000</v>
      </c>
      <c r="H121" s="34">
        <f t="shared" si="17"/>
        <v>45575000</v>
      </c>
      <c r="I121" s="158">
        <f t="shared" si="18"/>
        <v>32.34115201900237</v>
      </c>
      <c r="K121" s="192"/>
      <c r="L121" s="1"/>
    </row>
    <row r="122" spans="1:12" ht="15">
      <c r="A122" s="33"/>
      <c r="B122" s="311" t="s">
        <v>1086</v>
      </c>
      <c r="C122" s="312"/>
      <c r="D122" s="34">
        <v>1671613840</v>
      </c>
      <c r="E122" s="34">
        <v>0</v>
      </c>
      <c r="F122" s="34">
        <v>260779500</v>
      </c>
      <c r="G122" s="34">
        <f t="shared" si="19"/>
        <v>260779500</v>
      </c>
      <c r="H122" s="34">
        <f t="shared" si="17"/>
        <v>1410834340</v>
      </c>
      <c r="I122" s="158">
        <f t="shared" si="18"/>
        <v>15.600463083028792</v>
      </c>
      <c r="K122" s="192"/>
      <c r="L122" s="1"/>
    </row>
    <row r="123" spans="1:9" ht="15">
      <c r="A123" s="205"/>
      <c r="B123" s="330" t="s">
        <v>1153</v>
      </c>
      <c r="C123" s="330"/>
      <c r="D123" s="174">
        <f>SUM(D115:D122)</f>
        <v>4335918912</v>
      </c>
      <c r="E123" s="172">
        <f>SUM(E115:E122)</f>
        <v>0</v>
      </c>
      <c r="F123" s="172">
        <f>SUM(F115:F122)</f>
        <v>282564500</v>
      </c>
      <c r="G123" s="39">
        <f t="shared" si="19"/>
        <v>282564500</v>
      </c>
      <c r="H123" s="39">
        <f t="shared" si="17"/>
        <v>4053354412</v>
      </c>
      <c r="I123" s="158">
        <f t="shared" si="18"/>
        <v>6.516830820290026</v>
      </c>
    </row>
    <row r="124" spans="1:9" ht="15.75" thickBot="1">
      <c r="A124" s="203"/>
      <c r="B124" s="328" t="s">
        <v>43</v>
      </c>
      <c r="C124" s="328"/>
      <c r="D124" s="173">
        <f>D62+D73+D103+D112+D123</f>
        <v>35225804043</v>
      </c>
      <c r="E124" s="173">
        <f>E62+E73+E103+E112+E123</f>
        <v>0</v>
      </c>
      <c r="F124" s="173">
        <f>F62+F73+F103+F112+F123</f>
        <v>1154002057.9900002</v>
      </c>
      <c r="G124" s="44">
        <f t="shared" si="19"/>
        <v>1154002057.9900002</v>
      </c>
      <c r="H124" s="44">
        <f t="shared" si="17"/>
        <v>34071801985.01</v>
      </c>
      <c r="I124" s="158">
        <f t="shared" si="18"/>
        <v>3.276013392288547</v>
      </c>
    </row>
    <row r="125" spans="1:9" ht="15.75" thickTop="1">
      <c r="A125" s="2"/>
      <c r="B125" s="16"/>
      <c r="C125" s="16"/>
      <c r="D125" s="14"/>
      <c r="E125" s="14"/>
      <c r="F125" s="14"/>
      <c r="G125" s="14"/>
      <c r="H125" s="14"/>
      <c r="I125" s="15"/>
    </row>
    <row r="126" spans="1:11" ht="15">
      <c r="A126" s="2"/>
      <c r="B126" s="16"/>
      <c r="C126" s="16"/>
      <c r="D126" s="14"/>
      <c r="E126" s="14"/>
      <c r="F126" s="14"/>
      <c r="G126" s="14"/>
      <c r="H126" s="14"/>
      <c r="I126" s="15"/>
      <c r="K126" s="192"/>
    </row>
    <row r="127" spans="1:9" ht="15">
      <c r="A127" s="2"/>
      <c r="B127" s="16"/>
      <c r="C127" s="16"/>
      <c r="D127" s="14"/>
      <c r="E127" s="14"/>
      <c r="F127" s="14"/>
      <c r="G127" s="14"/>
      <c r="H127" s="14"/>
      <c r="I127" s="15"/>
    </row>
    <row r="128" spans="1:9" ht="15">
      <c r="A128" s="2"/>
      <c r="B128" s="16"/>
      <c r="C128" s="16"/>
      <c r="D128" s="14"/>
      <c r="F128" s="14"/>
      <c r="G128" s="14"/>
      <c r="H128" s="14"/>
      <c r="I128" s="15"/>
    </row>
    <row r="129" spans="2:9" ht="15">
      <c r="B129" s="16"/>
      <c r="C129" s="16" t="s">
        <v>53</v>
      </c>
      <c r="E129" s="147"/>
      <c r="F129" s="14"/>
      <c r="G129" s="14"/>
      <c r="H129" s="14"/>
      <c r="I129" s="15"/>
    </row>
    <row r="130" spans="2:9" ht="15">
      <c r="B130" s="69"/>
      <c r="C130" s="69"/>
      <c r="E130" s="147"/>
      <c r="F130" s="11"/>
      <c r="G130" s="11"/>
      <c r="H130" s="11"/>
      <c r="I130" s="1"/>
    </row>
    <row r="131" spans="2:9" ht="15">
      <c r="B131" s="69"/>
      <c r="C131" s="69"/>
      <c r="D131" s="11"/>
      <c r="E131" s="11"/>
      <c r="F131" s="11"/>
      <c r="G131" s="11"/>
      <c r="H131" s="11"/>
      <c r="I131" s="1"/>
    </row>
    <row r="132" spans="2:9" ht="15">
      <c r="B132" s="69"/>
      <c r="C132" s="69"/>
      <c r="D132" s="11"/>
      <c r="E132" s="11"/>
      <c r="F132" s="11"/>
      <c r="G132" s="11"/>
      <c r="H132" s="11"/>
      <c r="I132" s="1"/>
    </row>
    <row r="133" spans="2:9" ht="15">
      <c r="B133" s="69"/>
      <c r="C133" s="69"/>
      <c r="D133" s="11"/>
      <c r="E133" s="11"/>
      <c r="F133" s="11"/>
      <c r="G133" s="11"/>
      <c r="H133" s="11"/>
      <c r="I133" s="1"/>
    </row>
    <row r="134" spans="2:9" ht="15">
      <c r="B134" s="69"/>
      <c r="C134" s="69"/>
      <c r="D134" s="11"/>
      <c r="E134" s="11"/>
      <c r="F134" s="11"/>
      <c r="G134" s="11"/>
      <c r="H134" s="11"/>
      <c r="I134" s="1"/>
    </row>
    <row r="135" spans="2:9" ht="15">
      <c r="B135" s="69"/>
      <c r="C135" s="69"/>
      <c r="D135" s="11"/>
      <c r="E135" s="11"/>
      <c r="F135" s="11"/>
      <c r="G135" s="11"/>
      <c r="H135" s="11"/>
      <c r="I135" s="1"/>
    </row>
    <row r="136" spans="2:9" ht="15">
      <c r="B136" s="69"/>
      <c r="C136" s="69"/>
      <c r="D136" s="11"/>
      <c r="E136" s="11"/>
      <c r="F136" s="11"/>
      <c r="G136" s="11"/>
      <c r="H136" s="11"/>
      <c r="I136" s="1"/>
    </row>
    <row r="137" spans="2:9" ht="15">
      <c r="B137" s="69"/>
      <c r="C137" s="69"/>
      <c r="D137" s="11"/>
      <c r="E137" s="11"/>
      <c r="F137" s="11"/>
      <c r="G137" s="11"/>
      <c r="H137" s="11"/>
      <c r="I137" s="1"/>
    </row>
    <row r="138" spans="2:8" ht="15">
      <c r="B138" s="69"/>
      <c r="C138" s="69"/>
      <c r="D138" s="11"/>
      <c r="E138" s="11"/>
      <c r="F138" s="11"/>
      <c r="G138" s="11"/>
      <c r="H138" s="11"/>
    </row>
    <row r="139" spans="2:8" ht="15">
      <c r="B139" s="69"/>
      <c r="C139" s="69"/>
      <c r="D139" s="11"/>
      <c r="E139" s="11"/>
      <c r="F139" s="11"/>
      <c r="G139" s="11"/>
      <c r="H139" s="11"/>
    </row>
    <row r="140" spans="2:8" ht="15">
      <c r="B140" s="69"/>
      <c r="C140" s="69"/>
      <c r="D140" s="11"/>
      <c r="E140" s="11"/>
      <c r="F140" s="11"/>
      <c r="G140" s="11"/>
      <c r="H140" s="11"/>
    </row>
    <row r="141" spans="2:8" ht="15">
      <c r="B141" s="69"/>
      <c r="C141" s="69"/>
      <c r="D141" s="11"/>
      <c r="E141" s="11"/>
      <c r="F141" s="11"/>
      <c r="G141" s="11"/>
      <c r="H141" s="11"/>
    </row>
    <row r="142" spans="2:8" ht="15">
      <c r="B142" s="69"/>
      <c r="C142" s="69"/>
      <c r="D142" s="11"/>
      <c r="E142" s="11"/>
      <c r="F142" s="11"/>
      <c r="G142" s="11"/>
      <c r="H142" s="11"/>
    </row>
    <row r="143" spans="2:8" ht="15">
      <c r="B143" s="69"/>
      <c r="C143" s="69"/>
      <c r="D143" s="11"/>
      <c r="E143" s="11"/>
      <c r="F143" s="11"/>
      <c r="G143" s="11"/>
      <c r="H143" s="11"/>
    </row>
    <row r="144" spans="2:8" ht="15">
      <c r="B144" s="69"/>
      <c r="C144" s="69"/>
      <c r="D144" s="11"/>
      <c r="E144" s="11"/>
      <c r="F144" s="11"/>
      <c r="G144" s="11"/>
      <c r="H144" s="11"/>
    </row>
    <row r="145" spans="2:8" ht="15">
      <c r="B145" s="69"/>
      <c r="C145" s="69"/>
      <c r="D145" s="11"/>
      <c r="E145" s="11"/>
      <c r="F145" s="11"/>
      <c r="G145" s="11"/>
      <c r="H145" s="11"/>
    </row>
    <row r="146" spans="2:8" ht="15">
      <c r="B146" s="69"/>
      <c r="C146" s="69"/>
      <c r="D146" s="11"/>
      <c r="E146" s="11"/>
      <c r="F146" s="11"/>
      <c r="G146" s="11"/>
      <c r="H146" s="11"/>
    </row>
    <row r="147" spans="2:8" ht="15">
      <c r="B147" s="69"/>
      <c r="C147" s="69"/>
      <c r="D147" s="11"/>
      <c r="E147" s="11"/>
      <c r="F147" s="11"/>
      <c r="G147" s="11"/>
      <c r="H147" s="11"/>
    </row>
    <row r="148" spans="2:8" ht="15">
      <c r="B148" s="69"/>
      <c r="C148" s="69"/>
      <c r="D148" s="11"/>
      <c r="E148" s="11"/>
      <c r="F148" s="11"/>
      <c r="G148" s="11"/>
      <c r="H148" s="11"/>
    </row>
    <row r="149" spans="2:8" ht="15">
      <c r="B149" s="69"/>
      <c r="C149" s="69"/>
      <c r="D149" s="11"/>
      <c r="E149" s="11"/>
      <c r="F149" s="11"/>
      <c r="G149" s="11"/>
      <c r="H149" s="11"/>
    </row>
    <row r="150" spans="2:8" ht="15">
      <c r="B150" s="69"/>
      <c r="C150" s="69"/>
      <c r="D150" s="11"/>
      <c r="E150" s="11"/>
      <c r="F150" s="11"/>
      <c r="G150" s="11"/>
      <c r="H150" s="11"/>
    </row>
    <row r="151" spans="2:8" ht="15">
      <c r="B151" s="69"/>
      <c r="C151" s="69"/>
      <c r="D151" s="11"/>
      <c r="E151" s="11"/>
      <c r="F151" s="11"/>
      <c r="G151" s="11"/>
      <c r="H151" s="11"/>
    </row>
    <row r="152" spans="2:8" ht="15">
      <c r="B152" s="69"/>
      <c r="C152" s="69"/>
      <c r="D152" s="11"/>
      <c r="E152" s="11"/>
      <c r="F152" s="11"/>
      <c r="G152" s="11"/>
      <c r="H152" s="11"/>
    </row>
    <row r="153" spans="2:8" ht="15">
      <c r="B153" s="69"/>
      <c r="C153" s="69"/>
      <c r="D153" s="11"/>
      <c r="E153" s="11"/>
      <c r="F153" s="11"/>
      <c r="G153" s="11"/>
      <c r="H153" s="11"/>
    </row>
    <row r="154" spans="2:8" ht="15">
      <c r="B154" s="69"/>
      <c r="C154" s="69"/>
      <c r="D154" s="11"/>
      <c r="E154" s="11"/>
      <c r="F154" s="11"/>
      <c r="G154" s="11"/>
      <c r="H154" s="11"/>
    </row>
    <row r="155" spans="2:8" ht="15">
      <c r="B155" s="69"/>
      <c r="C155" s="69"/>
      <c r="D155" s="11"/>
      <c r="E155" s="11"/>
      <c r="F155" s="11"/>
      <c r="G155" s="11"/>
      <c r="H155" s="11"/>
    </row>
    <row r="156" spans="2:8" ht="15">
      <c r="B156" s="69"/>
      <c r="C156" s="69"/>
      <c r="D156" s="11"/>
      <c r="E156" s="11"/>
      <c r="F156" s="11"/>
      <c r="G156" s="11"/>
      <c r="H156" s="11"/>
    </row>
    <row r="157" spans="2:8" ht="15">
      <c r="B157" s="69"/>
      <c r="C157" s="69"/>
      <c r="D157" s="11"/>
      <c r="E157" s="11" t="s">
        <v>938</v>
      </c>
      <c r="F157" s="11"/>
      <c r="G157" s="11"/>
      <c r="H157" s="11"/>
    </row>
    <row r="158" spans="2:8" ht="15">
      <c r="B158" s="69"/>
      <c r="C158" s="69"/>
      <c r="D158" s="11"/>
      <c r="E158" s="11"/>
      <c r="F158" s="11"/>
      <c r="G158" s="11"/>
      <c r="H158" s="11"/>
    </row>
    <row r="159" spans="2:8" ht="15">
      <c r="B159" s="69"/>
      <c r="C159" s="69"/>
      <c r="D159" s="11"/>
      <c r="E159" s="11"/>
      <c r="F159" s="11"/>
      <c r="G159" s="11"/>
      <c r="H159" s="11"/>
    </row>
    <row r="160" spans="2:8" ht="15">
      <c r="B160" s="69"/>
      <c r="C160" s="69"/>
      <c r="D160" s="11"/>
      <c r="E160" s="11"/>
      <c r="F160" s="11"/>
      <c r="G160" s="11"/>
      <c r="H160" s="11"/>
    </row>
    <row r="161" spans="2:8" ht="15">
      <c r="B161" s="69"/>
      <c r="C161" s="69"/>
      <c r="D161" s="11"/>
      <c r="E161" s="11"/>
      <c r="F161" s="11"/>
      <c r="G161" s="11"/>
      <c r="H161" s="11"/>
    </row>
    <row r="162" spans="2:8" ht="15">
      <c r="B162" s="69"/>
      <c r="C162" s="69"/>
      <c r="D162" s="11"/>
      <c r="E162" s="11"/>
      <c r="F162" s="11"/>
      <c r="G162" s="11"/>
      <c r="H162" s="11"/>
    </row>
    <row r="163" spans="2:8" ht="15">
      <c r="B163" s="69"/>
      <c r="C163" s="69"/>
      <c r="D163" s="11"/>
      <c r="E163" s="11"/>
      <c r="F163" s="11"/>
      <c r="G163" s="11"/>
      <c r="H163" s="11"/>
    </row>
    <row r="164" spans="2:8" ht="15">
      <c r="B164" s="69"/>
      <c r="C164" s="69"/>
      <c r="D164" s="11"/>
      <c r="E164" s="11"/>
      <c r="F164" s="11"/>
      <c r="G164" s="11"/>
      <c r="H164" s="11"/>
    </row>
    <row r="165" spans="2:8" ht="15">
      <c r="B165" s="69"/>
      <c r="C165" s="69"/>
      <c r="D165" s="11"/>
      <c r="E165" s="11"/>
      <c r="F165" s="11"/>
      <c r="G165" s="11"/>
      <c r="H165" s="11"/>
    </row>
    <row r="166" spans="2:8" ht="15">
      <c r="B166" s="69"/>
      <c r="C166" s="69"/>
      <c r="D166" s="11"/>
      <c r="E166" s="11"/>
      <c r="F166" s="11"/>
      <c r="G166" s="11"/>
      <c r="H166" s="11"/>
    </row>
    <row r="167" spans="2:8" ht="15">
      <c r="B167" s="69"/>
      <c r="C167" s="69"/>
      <c r="D167" s="11"/>
      <c r="E167" s="11"/>
      <c r="F167" s="11"/>
      <c r="G167" s="11"/>
      <c r="H167" s="11"/>
    </row>
    <row r="168" spans="2:8" ht="15">
      <c r="B168" s="69"/>
      <c r="C168" s="69"/>
      <c r="D168" s="11"/>
      <c r="E168" s="11"/>
      <c r="F168" s="11"/>
      <c r="G168" s="11"/>
      <c r="H168" s="11"/>
    </row>
    <row r="169" spans="2:8" ht="15">
      <c r="B169" s="69"/>
      <c r="C169" s="69"/>
      <c r="D169" s="11"/>
      <c r="E169" s="11"/>
      <c r="F169" s="11"/>
      <c r="G169" s="11"/>
      <c r="H169" s="11"/>
    </row>
    <row r="170" spans="2:8" ht="15">
      <c r="B170" s="69"/>
      <c r="C170" s="69"/>
      <c r="D170" s="11"/>
      <c r="E170" s="11"/>
      <c r="F170" s="11"/>
      <c r="G170" s="11"/>
      <c r="H170" s="11"/>
    </row>
    <row r="171" spans="2:8" ht="15">
      <c r="B171" s="69"/>
      <c r="C171" s="69"/>
      <c r="D171" s="11"/>
      <c r="E171" s="11"/>
      <c r="F171" s="11"/>
      <c r="G171" s="11"/>
      <c r="H171" s="11"/>
    </row>
    <row r="172" spans="2:8" ht="15">
      <c r="B172" s="69"/>
      <c r="C172" s="69"/>
      <c r="D172" s="11"/>
      <c r="E172" s="11"/>
      <c r="F172" s="11"/>
      <c r="G172" s="11"/>
      <c r="H172" s="11"/>
    </row>
    <row r="173" spans="2:8" ht="15">
      <c r="B173" s="69"/>
      <c r="C173" s="69"/>
      <c r="D173" s="11"/>
      <c r="E173" s="11"/>
      <c r="F173" s="11"/>
      <c r="G173" s="11"/>
      <c r="H173" s="11"/>
    </row>
    <row r="174" spans="2:8" ht="15">
      <c r="B174" s="69"/>
      <c r="C174" s="69"/>
      <c r="D174" s="11"/>
      <c r="E174" s="11"/>
      <c r="F174" s="11"/>
      <c r="G174" s="11"/>
      <c r="H174" s="11"/>
    </row>
    <row r="175" spans="2:8" ht="15">
      <c r="B175" s="69"/>
      <c r="C175" s="69"/>
      <c r="D175" s="11"/>
      <c r="E175" s="11"/>
      <c r="F175" s="11"/>
      <c r="G175" s="11"/>
      <c r="H175" s="11"/>
    </row>
    <row r="176" spans="2:8" ht="15">
      <c r="B176" s="69"/>
      <c r="C176" s="69"/>
      <c r="D176" s="11"/>
      <c r="E176" s="11"/>
      <c r="F176" s="11"/>
      <c r="G176" s="11"/>
      <c r="H176" s="11"/>
    </row>
    <row r="177" spans="2:8" ht="15">
      <c r="B177" s="69"/>
      <c r="C177" s="69"/>
      <c r="D177" s="11"/>
      <c r="E177" s="11"/>
      <c r="F177" s="11"/>
      <c r="G177" s="11"/>
      <c r="H177" s="11"/>
    </row>
    <row r="178" spans="2:8" ht="15">
      <c r="B178" s="69"/>
      <c r="C178" s="69"/>
      <c r="D178" s="11"/>
      <c r="E178" s="11"/>
      <c r="F178" s="11"/>
      <c r="G178" s="11"/>
      <c r="H178" s="11"/>
    </row>
    <row r="179" spans="2:8" ht="15">
      <c r="B179" s="69"/>
      <c r="C179" s="69"/>
      <c r="D179" s="11"/>
      <c r="E179" s="11"/>
      <c r="F179" s="11"/>
      <c r="G179" s="11"/>
      <c r="H179" s="11"/>
    </row>
    <row r="180" spans="2:8" ht="15">
      <c r="B180" s="69"/>
      <c r="C180" s="69"/>
      <c r="D180" s="11"/>
      <c r="E180" s="11"/>
      <c r="F180" s="11"/>
      <c r="G180" s="11"/>
      <c r="H180" s="11"/>
    </row>
  </sheetData>
  <sheetProtection/>
  <mergeCells count="115">
    <mergeCell ref="B123:C123"/>
    <mergeCell ref="B120:C120"/>
    <mergeCell ref="B121:C121"/>
    <mergeCell ref="B122:C122"/>
    <mergeCell ref="B117:C117"/>
    <mergeCell ref="B118:C118"/>
    <mergeCell ref="B103:C103"/>
    <mergeCell ref="B105:C105"/>
    <mergeCell ref="B106:C106"/>
    <mergeCell ref="B124:C124"/>
    <mergeCell ref="B109:C109"/>
    <mergeCell ref="B110:C110"/>
    <mergeCell ref="B111:C111"/>
    <mergeCell ref="B114:C114"/>
    <mergeCell ref="B115:C115"/>
    <mergeCell ref="B119:C119"/>
    <mergeCell ref="B107:C107"/>
    <mergeCell ref="B116:C116"/>
    <mergeCell ref="B112:C112"/>
    <mergeCell ref="B108:C108"/>
    <mergeCell ref="B91:C91"/>
    <mergeCell ref="B101:C101"/>
    <mergeCell ref="B94:C94"/>
    <mergeCell ref="B99:C99"/>
    <mergeCell ref="B100:C100"/>
    <mergeCell ref="B102:C102"/>
    <mergeCell ref="B90:C90"/>
    <mergeCell ref="B92:C92"/>
    <mergeCell ref="B93:C93"/>
    <mergeCell ref="B96:C96"/>
    <mergeCell ref="B97:C97"/>
    <mergeCell ref="B98:C98"/>
    <mergeCell ref="B95:C95"/>
    <mergeCell ref="B81:C81"/>
    <mergeCell ref="B82:C82"/>
    <mergeCell ref="B84:C84"/>
    <mergeCell ref="B85:C85"/>
    <mergeCell ref="B86:C86"/>
    <mergeCell ref="B87:C87"/>
    <mergeCell ref="B72:C72"/>
    <mergeCell ref="B73:C73"/>
    <mergeCell ref="B76:C76"/>
    <mergeCell ref="B77:C77"/>
    <mergeCell ref="B89:C89"/>
    <mergeCell ref="B78:C78"/>
    <mergeCell ref="B83:C83"/>
    <mergeCell ref="B88:C88"/>
    <mergeCell ref="B79:C79"/>
    <mergeCell ref="B80:C80"/>
    <mergeCell ref="B66:C66"/>
    <mergeCell ref="B67:C67"/>
    <mergeCell ref="B68:C68"/>
    <mergeCell ref="B69:C69"/>
    <mergeCell ref="B70:C70"/>
    <mergeCell ref="B71:C71"/>
    <mergeCell ref="B59:C59"/>
    <mergeCell ref="B61:C61"/>
    <mergeCell ref="B62:C62"/>
    <mergeCell ref="B63:C63"/>
    <mergeCell ref="A64:C64"/>
    <mergeCell ref="B65:C65"/>
    <mergeCell ref="B51:C51"/>
    <mergeCell ref="B52:C52"/>
    <mergeCell ref="D54:I54"/>
    <mergeCell ref="B55:C55"/>
    <mergeCell ref="B57:C57"/>
    <mergeCell ref="B58:C58"/>
    <mergeCell ref="B42:C42"/>
    <mergeCell ref="B43:C43"/>
    <mergeCell ref="B44:C44"/>
    <mergeCell ref="B48:C48"/>
    <mergeCell ref="B49:C49"/>
    <mergeCell ref="B50:C50"/>
    <mergeCell ref="B36:C36"/>
    <mergeCell ref="B37:C37"/>
    <mergeCell ref="B38:C38"/>
    <mergeCell ref="B39:C39"/>
    <mergeCell ref="B40:C40"/>
    <mergeCell ref="B41:C41"/>
    <mergeCell ref="B27:C27"/>
    <mergeCell ref="B28:C28"/>
    <mergeCell ref="B31:C31"/>
    <mergeCell ref="B32:C32"/>
    <mergeCell ref="B33:C33"/>
    <mergeCell ref="B35:C35"/>
    <mergeCell ref="B20:C20"/>
    <mergeCell ref="B21:C21"/>
    <mergeCell ref="B22:C22"/>
    <mergeCell ref="B23:C23"/>
    <mergeCell ref="B24:C24"/>
    <mergeCell ref="B26:C26"/>
    <mergeCell ref="B12:C12"/>
    <mergeCell ref="B13:C13"/>
    <mergeCell ref="B14:C14"/>
    <mergeCell ref="B15:C15"/>
    <mergeCell ref="B17:C17"/>
    <mergeCell ref="B18:C18"/>
    <mergeCell ref="B16:C16"/>
    <mergeCell ref="B5:C5"/>
    <mergeCell ref="B6:C6"/>
    <mergeCell ref="B8:C8"/>
    <mergeCell ref="B9:C9"/>
    <mergeCell ref="B10:C10"/>
    <mergeCell ref="B11:C11"/>
    <mergeCell ref="B7:C7"/>
    <mergeCell ref="A1:I1"/>
    <mergeCell ref="A2:I2"/>
    <mergeCell ref="A3:A4"/>
    <mergeCell ref="B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scale="70" r:id="rId3"/>
  <headerFooter alignWithMargins="0"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H93"/>
  <sheetViews>
    <sheetView zoomScale="85" zoomScaleNormal="85" zoomScalePageLayoutView="0" workbookViewId="0" topLeftCell="A6">
      <selection activeCell="D21" sqref="D21"/>
    </sheetView>
  </sheetViews>
  <sheetFormatPr defaultColWidth="9.140625" defaultRowHeight="15"/>
  <cols>
    <col min="1" max="1" width="6.57421875" style="0" customWidth="1"/>
    <col min="3" max="3" width="21.00390625" style="0" customWidth="1"/>
    <col min="4" max="5" width="30.28125" style="0" customWidth="1"/>
    <col min="6" max="6" width="20.7109375" style="0" customWidth="1"/>
    <col min="7" max="7" width="19.57421875" style="0" bestFit="1" customWidth="1"/>
    <col min="8" max="8" width="19.8515625" style="0" customWidth="1"/>
  </cols>
  <sheetData>
    <row r="6" spans="1:8" ht="23.25">
      <c r="A6" s="356" t="s">
        <v>1100</v>
      </c>
      <c r="B6" s="356"/>
      <c r="C6" s="356"/>
      <c r="D6" s="356"/>
      <c r="E6" s="356"/>
      <c r="F6" s="356"/>
      <c r="G6" s="356"/>
      <c r="H6" s="356"/>
    </row>
    <row r="7" spans="1:8" ht="23.25">
      <c r="A7" s="356" t="s">
        <v>64</v>
      </c>
      <c r="B7" s="356"/>
      <c r="C7" s="356"/>
      <c r="D7" s="356"/>
      <c r="E7" s="356"/>
      <c r="F7" s="356"/>
      <c r="G7" s="356"/>
      <c r="H7" s="356"/>
    </row>
    <row r="8" spans="1:8" ht="23.25">
      <c r="A8" s="356" t="s">
        <v>65</v>
      </c>
      <c r="B8" s="356"/>
      <c r="C8" s="356"/>
      <c r="D8" s="356"/>
      <c r="E8" s="356"/>
      <c r="F8" s="356"/>
      <c r="G8" s="356"/>
      <c r="H8" s="356"/>
    </row>
    <row r="9" spans="1:8" ht="23.25">
      <c r="A9" s="186" t="s">
        <v>1101</v>
      </c>
      <c r="B9" s="186"/>
      <c r="C9" s="186"/>
      <c r="D9" s="53"/>
      <c r="E9" s="53"/>
      <c r="F9" s="53"/>
      <c r="G9" s="53"/>
      <c r="H9" s="53"/>
    </row>
    <row r="10" spans="1:8" ht="15.75" customHeight="1">
      <c r="A10" s="357" t="s">
        <v>59</v>
      </c>
      <c r="B10" s="357" t="s">
        <v>60</v>
      </c>
      <c r="C10" s="357"/>
      <c r="D10" s="350" t="s">
        <v>1102</v>
      </c>
      <c r="E10" s="350" t="s">
        <v>1109</v>
      </c>
      <c r="F10" s="349" t="s">
        <v>1103</v>
      </c>
      <c r="G10" s="349" t="s">
        <v>1104</v>
      </c>
      <c r="H10" s="347" t="s">
        <v>1105</v>
      </c>
    </row>
    <row r="11" spans="1:8" ht="19.5" customHeight="1">
      <c r="A11" s="357"/>
      <c r="B11" s="357"/>
      <c r="C11" s="357"/>
      <c r="D11" s="351"/>
      <c r="E11" s="351"/>
      <c r="F11" s="349"/>
      <c r="G11" s="349"/>
      <c r="H11" s="348"/>
    </row>
    <row r="12" spans="1:8" ht="15">
      <c r="A12" s="40">
        <v>1</v>
      </c>
      <c r="B12" s="355" t="s">
        <v>62</v>
      </c>
      <c r="C12" s="355"/>
      <c r="D12" s="34" t="s">
        <v>1107</v>
      </c>
      <c r="E12" s="34" t="s">
        <v>1108</v>
      </c>
      <c r="F12" s="187" t="s">
        <v>1106</v>
      </c>
      <c r="G12" s="188">
        <v>42264</v>
      </c>
      <c r="H12" s="59">
        <v>650398147.26</v>
      </c>
    </row>
    <row r="13" spans="1:8" ht="15">
      <c r="A13" s="61">
        <v>2</v>
      </c>
      <c r="B13" s="355" t="s">
        <v>62</v>
      </c>
      <c r="C13" s="355"/>
      <c r="D13" s="34" t="s">
        <v>1107</v>
      </c>
      <c r="E13" s="62" t="s">
        <v>1110</v>
      </c>
      <c r="F13" s="187" t="s">
        <v>1111</v>
      </c>
      <c r="G13" s="188">
        <v>42405</v>
      </c>
      <c r="H13" s="59">
        <v>714801151.02</v>
      </c>
    </row>
    <row r="14" spans="1:8" ht="24.75" customHeight="1">
      <c r="A14" s="352" t="s">
        <v>63</v>
      </c>
      <c r="B14" s="353"/>
      <c r="C14" s="353"/>
      <c r="D14" s="353"/>
      <c r="E14" s="353"/>
      <c r="F14" s="353"/>
      <c r="G14" s="354"/>
      <c r="H14" s="54">
        <f>SUM(H12:H13)</f>
        <v>1365199298.28</v>
      </c>
    </row>
    <row r="15" spans="1:8" ht="15.75">
      <c r="A15" s="4"/>
      <c r="B15" s="8"/>
      <c r="C15" s="8"/>
      <c r="D15" s="7"/>
      <c r="E15" s="7"/>
      <c r="F15" s="7"/>
      <c r="G15" s="6"/>
      <c r="H15" s="6"/>
    </row>
    <row r="16" spans="1:8" ht="15.75">
      <c r="A16" s="5"/>
      <c r="B16" s="8"/>
      <c r="C16" s="8"/>
      <c r="D16" s="7"/>
      <c r="E16" s="7"/>
      <c r="F16" s="7"/>
      <c r="G16" s="6"/>
      <c r="H16" s="6"/>
    </row>
    <row r="17" spans="1:8" ht="15.75">
      <c r="A17" s="5"/>
      <c r="B17" s="8"/>
      <c r="C17" s="177"/>
      <c r="D17" s="6"/>
      <c r="E17" s="6"/>
      <c r="F17" s="6"/>
      <c r="G17" s="6"/>
      <c r="H17" s="6"/>
    </row>
    <row r="18" spans="1:8" ht="15.75">
      <c r="A18" s="5"/>
      <c r="B18" s="8"/>
      <c r="C18" s="177"/>
      <c r="D18" s="6"/>
      <c r="E18" s="6"/>
      <c r="F18" s="6"/>
      <c r="G18" s="6"/>
      <c r="H18" s="6"/>
    </row>
    <row r="19" spans="1:8" ht="15.75">
      <c r="A19" s="5"/>
      <c r="B19" s="8"/>
      <c r="C19" s="177"/>
      <c r="D19" s="6"/>
      <c r="E19" s="6"/>
      <c r="F19" s="6"/>
      <c r="G19" s="6"/>
      <c r="H19" s="6"/>
    </row>
    <row r="20" spans="1:8" ht="15.75">
      <c r="A20" s="5"/>
      <c r="B20" s="8"/>
      <c r="C20" s="177"/>
      <c r="D20" s="6"/>
      <c r="E20" s="6"/>
      <c r="F20" s="6"/>
      <c r="G20" s="6"/>
      <c r="H20" s="6"/>
    </row>
    <row r="21" spans="1:8" ht="15.75">
      <c r="A21" s="5"/>
      <c r="B21" s="8"/>
      <c r="C21" s="177"/>
      <c r="D21" s="6"/>
      <c r="E21" s="6"/>
      <c r="F21" s="6"/>
      <c r="G21" s="6"/>
      <c r="H21" s="6"/>
    </row>
    <row r="22" spans="1:8" ht="15.75">
      <c r="A22" s="5"/>
      <c r="B22" s="8"/>
      <c r="C22" s="177"/>
      <c r="D22" s="6"/>
      <c r="E22" s="6"/>
      <c r="F22" s="6"/>
      <c r="G22" s="6"/>
      <c r="H22" s="6"/>
    </row>
    <row r="23" spans="1:8" ht="15.75">
      <c r="A23" s="5"/>
      <c r="B23" s="8"/>
      <c r="C23" s="177"/>
      <c r="D23" s="6"/>
      <c r="E23" s="6"/>
      <c r="F23" s="6"/>
      <c r="G23" s="6"/>
      <c r="H23" s="6"/>
    </row>
    <row r="24" spans="1:8" ht="15.75">
      <c r="A24" s="5"/>
      <c r="B24" s="8"/>
      <c r="C24" s="177"/>
      <c r="D24" s="6"/>
      <c r="E24" s="6"/>
      <c r="F24" s="6"/>
      <c r="G24" s="6"/>
      <c r="H24" s="6"/>
    </row>
    <row r="25" spans="2:8" ht="15">
      <c r="B25" s="52"/>
      <c r="C25" s="178"/>
      <c r="D25" s="11"/>
      <c r="E25" s="11"/>
      <c r="F25" s="11"/>
      <c r="G25" s="11"/>
      <c r="H25" s="11"/>
    </row>
    <row r="26" spans="2:8" ht="15">
      <c r="B26" s="52"/>
      <c r="C26" s="178"/>
      <c r="D26" s="11"/>
      <c r="E26" s="11"/>
      <c r="F26" s="11"/>
      <c r="G26" s="11"/>
      <c r="H26" s="11"/>
    </row>
    <row r="27" spans="2:8" ht="15">
      <c r="B27" s="52"/>
      <c r="C27" s="178"/>
      <c r="D27" s="11"/>
      <c r="E27" s="11"/>
      <c r="F27" s="11"/>
      <c r="G27" s="11"/>
      <c r="H27" s="11"/>
    </row>
    <row r="28" spans="2:8" ht="15">
      <c r="B28" s="52"/>
      <c r="C28" s="178"/>
      <c r="D28" s="11"/>
      <c r="E28" s="11"/>
      <c r="F28" s="11"/>
      <c r="G28" s="11"/>
      <c r="H28" s="11"/>
    </row>
    <row r="29" spans="2:8" ht="15">
      <c r="B29" s="52"/>
      <c r="C29" s="178"/>
      <c r="D29" s="11"/>
      <c r="E29" s="11"/>
      <c r="F29" s="11"/>
      <c r="G29" s="11"/>
      <c r="H29" s="11"/>
    </row>
    <row r="30" spans="2:8" ht="15">
      <c r="B30" s="52"/>
      <c r="C30" s="178"/>
      <c r="D30" s="11"/>
      <c r="E30" s="11"/>
      <c r="F30" s="11"/>
      <c r="G30" s="11"/>
      <c r="H30" s="11"/>
    </row>
    <row r="31" spans="2:8" ht="15">
      <c r="B31" s="52"/>
      <c r="C31" s="178"/>
      <c r="D31" s="11"/>
      <c r="E31" s="11"/>
      <c r="F31" s="11"/>
      <c r="G31" s="11"/>
      <c r="H31" s="11"/>
    </row>
    <row r="32" spans="2:8" ht="15">
      <c r="B32" s="52"/>
      <c r="C32" s="178"/>
      <c r="D32" s="11"/>
      <c r="E32" s="11"/>
      <c r="F32" s="11"/>
      <c r="G32" s="11"/>
      <c r="H32" s="11"/>
    </row>
    <row r="33" spans="2:8" ht="15">
      <c r="B33" s="52"/>
      <c r="C33" s="178"/>
      <c r="D33" s="11"/>
      <c r="E33" s="11"/>
      <c r="F33" s="11"/>
      <c r="G33" s="11"/>
      <c r="H33" s="11"/>
    </row>
    <row r="34" spans="2:8" ht="15">
      <c r="B34" s="52"/>
      <c r="C34" s="178"/>
      <c r="D34" s="11"/>
      <c r="E34" s="11"/>
      <c r="F34" s="11"/>
      <c r="G34" s="11"/>
      <c r="H34" s="11"/>
    </row>
    <row r="35" spans="2:8" ht="15">
      <c r="B35" s="52"/>
      <c r="C35" s="178"/>
      <c r="D35" s="11"/>
      <c r="E35" s="11"/>
      <c r="F35" s="11"/>
      <c r="G35" s="11"/>
      <c r="H35" s="11"/>
    </row>
    <row r="36" spans="2:8" ht="15">
      <c r="B36" s="52"/>
      <c r="C36" s="178"/>
      <c r="D36" s="11"/>
      <c r="E36" s="11"/>
      <c r="F36" s="11"/>
      <c r="G36" s="11"/>
      <c r="H36" s="11"/>
    </row>
    <row r="37" spans="2:8" ht="15">
      <c r="B37" s="52"/>
      <c r="C37" s="178"/>
      <c r="D37" s="11"/>
      <c r="E37" s="11"/>
      <c r="F37" s="11"/>
      <c r="G37" s="11"/>
      <c r="H37" s="11"/>
    </row>
    <row r="38" spans="2:8" ht="15">
      <c r="B38" s="52"/>
      <c r="C38" s="178"/>
      <c r="D38" s="11"/>
      <c r="E38" s="11"/>
      <c r="F38" s="11"/>
      <c r="G38" s="11"/>
      <c r="H38" s="11"/>
    </row>
    <row r="39" spans="2:8" ht="15">
      <c r="B39" s="52"/>
      <c r="C39" s="178"/>
      <c r="D39" s="11"/>
      <c r="E39" s="11"/>
      <c r="F39" s="11"/>
      <c r="G39" s="11"/>
      <c r="H39" s="11"/>
    </row>
    <row r="40" spans="2:8" ht="15">
      <c r="B40" s="52"/>
      <c r="C40" s="178"/>
      <c r="D40" s="11"/>
      <c r="E40" s="11"/>
      <c r="F40" s="11"/>
      <c r="G40" s="11"/>
      <c r="H40" s="11"/>
    </row>
    <row r="41" spans="2:8" ht="15">
      <c r="B41" s="52"/>
      <c r="C41" s="178"/>
      <c r="D41" s="11"/>
      <c r="E41" s="11"/>
      <c r="F41" s="11"/>
      <c r="G41" s="11"/>
      <c r="H41" s="11"/>
    </row>
    <row r="42" spans="2:8" ht="15">
      <c r="B42" s="52"/>
      <c r="C42" s="178"/>
      <c r="D42" s="11"/>
      <c r="E42" s="11"/>
      <c r="F42" s="11"/>
      <c r="G42" s="11"/>
      <c r="H42" s="11"/>
    </row>
    <row r="43" spans="2:8" ht="15">
      <c r="B43" s="52"/>
      <c r="C43" s="178"/>
      <c r="D43" s="11"/>
      <c r="E43" s="11"/>
      <c r="F43" s="11"/>
      <c r="G43" s="11"/>
      <c r="H43" s="11"/>
    </row>
    <row r="44" spans="2:8" ht="15">
      <c r="B44" s="52"/>
      <c r="C44" s="178"/>
      <c r="D44" s="11"/>
      <c r="E44" s="11"/>
      <c r="F44" s="11"/>
      <c r="G44" s="11"/>
      <c r="H44" s="11"/>
    </row>
    <row r="45" spans="2:8" ht="15">
      <c r="B45" s="52"/>
      <c r="C45" s="178"/>
      <c r="D45" s="11"/>
      <c r="E45" s="11"/>
      <c r="F45" s="11"/>
      <c r="G45" s="11"/>
      <c r="H45" s="11"/>
    </row>
    <row r="46" spans="2:8" ht="15">
      <c r="B46" s="52"/>
      <c r="C46" s="178"/>
      <c r="D46" s="11"/>
      <c r="E46" s="11"/>
      <c r="F46" s="11"/>
      <c r="G46" s="11"/>
      <c r="H46" s="11"/>
    </row>
    <row r="47" spans="2:8" ht="15">
      <c r="B47" s="52"/>
      <c r="C47" s="178"/>
      <c r="D47" s="11"/>
      <c r="E47" s="11"/>
      <c r="F47" s="11"/>
      <c r="G47" s="11"/>
      <c r="H47" s="11"/>
    </row>
    <row r="48" spans="2:8" ht="15">
      <c r="B48" s="52"/>
      <c r="C48" s="178"/>
      <c r="D48" s="11"/>
      <c r="E48" s="11"/>
      <c r="F48" s="11"/>
      <c r="G48" s="11"/>
      <c r="H48" s="11"/>
    </row>
    <row r="49" spans="2:8" ht="15">
      <c r="B49" s="52"/>
      <c r="C49" s="178"/>
      <c r="D49" s="11"/>
      <c r="E49" s="11"/>
      <c r="F49" s="11"/>
      <c r="G49" s="11"/>
      <c r="H49" s="11"/>
    </row>
    <row r="50" spans="2:8" ht="15">
      <c r="B50" s="52"/>
      <c r="C50" s="178"/>
      <c r="D50" s="11"/>
      <c r="E50" s="11"/>
      <c r="F50" s="11"/>
      <c r="G50" s="11"/>
      <c r="H50" s="11"/>
    </row>
    <row r="51" spans="2:8" ht="15">
      <c r="B51" s="52"/>
      <c r="C51" s="178"/>
      <c r="D51" s="11"/>
      <c r="E51" s="11"/>
      <c r="F51" s="11"/>
      <c r="G51" s="11"/>
      <c r="H51" s="11"/>
    </row>
    <row r="52" spans="2:8" ht="15">
      <c r="B52" s="52"/>
      <c r="C52" s="178"/>
      <c r="D52" s="11"/>
      <c r="E52" s="11"/>
      <c r="F52" s="11"/>
      <c r="G52" s="11"/>
      <c r="H52" s="11"/>
    </row>
    <row r="53" spans="2:8" ht="15">
      <c r="B53" s="52"/>
      <c r="C53" s="178"/>
      <c r="D53" s="11"/>
      <c r="E53" s="11"/>
      <c r="F53" s="11"/>
      <c r="G53" s="11"/>
      <c r="H53" s="11"/>
    </row>
    <row r="54" spans="2:8" ht="15">
      <c r="B54" s="52"/>
      <c r="C54" s="178"/>
      <c r="D54" s="11"/>
      <c r="E54" s="11"/>
      <c r="F54" s="11"/>
      <c r="G54" s="11"/>
      <c r="H54" s="11"/>
    </row>
    <row r="55" spans="2:8" ht="15">
      <c r="B55" s="52"/>
      <c r="C55" s="178"/>
      <c r="D55" s="11"/>
      <c r="E55" s="11"/>
      <c r="F55" s="11"/>
      <c r="G55" s="11"/>
      <c r="H55" s="11"/>
    </row>
    <row r="56" spans="2:8" ht="15">
      <c r="B56" s="52"/>
      <c r="C56" s="178"/>
      <c r="D56" s="11"/>
      <c r="E56" s="11"/>
      <c r="F56" s="11"/>
      <c r="G56" s="11"/>
      <c r="H56" s="11"/>
    </row>
    <row r="57" spans="2:8" ht="15">
      <c r="B57" s="52"/>
      <c r="C57" s="178"/>
      <c r="D57" s="11"/>
      <c r="E57" s="11"/>
      <c r="F57" s="11"/>
      <c r="G57" s="11"/>
      <c r="H57" s="11"/>
    </row>
    <row r="58" spans="2:8" ht="15">
      <c r="B58" s="52"/>
      <c r="C58" s="178"/>
      <c r="D58" s="11"/>
      <c r="E58" s="11"/>
      <c r="F58" s="11"/>
      <c r="G58" s="11"/>
      <c r="H58" s="11"/>
    </row>
    <row r="59" spans="2:8" ht="15">
      <c r="B59" s="52"/>
      <c r="C59" s="178"/>
      <c r="D59" s="11"/>
      <c r="E59" s="11"/>
      <c r="F59" s="11"/>
      <c r="G59" s="11"/>
      <c r="H59" s="11"/>
    </row>
    <row r="60" spans="2:8" ht="15">
      <c r="B60" s="52"/>
      <c r="C60" s="178"/>
      <c r="D60" s="11"/>
      <c r="E60" s="11"/>
      <c r="F60" s="11"/>
      <c r="G60" s="11"/>
      <c r="H60" s="11"/>
    </row>
    <row r="61" spans="2:8" ht="15">
      <c r="B61" s="52"/>
      <c r="C61" s="178"/>
      <c r="D61" s="11"/>
      <c r="E61" s="11"/>
      <c r="F61" s="11"/>
      <c r="G61" s="11"/>
      <c r="H61" s="11"/>
    </row>
    <row r="62" spans="2:8" ht="15">
      <c r="B62" s="52"/>
      <c r="C62" s="178"/>
      <c r="D62" s="11"/>
      <c r="E62" s="11"/>
      <c r="F62" s="11"/>
      <c r="G62" s="11"/>
      <c r="H62" s="11"/>
    </row>
    <row r="63" spans="2:8" ht="15">
      <c r="B63" s="52"/>
      <c r="C63" s="178"/>
      <c r="D63" s="11"/>
      <c r="E63" s="11"/>
      <c r="F63" s="11"/>
      <c r="G63" s="11"/>
      <c r="H63" s="11"/>
    </row>
    <row r="64" spans="2:8" ht="15">
      <c r="B64" s="52"/>
      <c r="C64" s="178"/>
      <c r="D64" s="11"/>
      <c r="E64" s="11"/>
      <c r="F64" s="11"/>
      <c r="G64" s="11"/>
      <c r="H64" s="11"/>
    </row>
    <row r="65" spans="2:8" ht="15">
      <c r="B65" s="52"/>
      <c r="C65" s="178"/>
      <c r="D65" s="11"/>
      <c r="E65" s="11"/>
      <c r="F65" s="11"/>
      <c r="G65" s="11"/>
      <c r="H65" s="11"/>
    </row>
    <row r="66" spans="2:8" ht="15">
      <c r="B66" s="52"/>
      <c r="C66" s="178"/>
      <c r="D66" s="11"/>
      <c r="E66" s="11"/>
      <c r="F66" s="11"/>
      <c r="G66" s="11"/>
      <c r="H66" s="11"/>
    </row>
    <row r="67" spans="2:8" ht="15">
      <c r="B67" s="52"/>
      <c r="C67" s="179"/>
      <c r="D67" s="180"/>
      <c r="E67" s="180"/>
      <c r="F67" s="11"/>
      <c r="G67" s="11"/>
      <c r="H67" s="11"/>
    </row>
    <row r="68" spans="2:8" ht="15">
      <c r="B68" s="52"/>
      <c r="C68" s="178"/>
      <c r="D68" s="11"/>
      <c r="E68" s="11"/>
      <c r="F68" s="11"/>
      <c r="G68" s="11"/>
      <c r="H68" s="11"/>
    </row>
    <row r="69" spans="2:8" ht="15">
      <c r="B69" s="52"/>
      <c r="C69" s="176"/>
      <c r="D69" s="12"/>
      <c r="E69" s="12"/>
      <c r="F69" s="12"/>
      <c r="G69" s="11"/>
      <c r="H69" s="11"/>
    </row>
    <row r="70" spans="2:8" ht="15">
      <c r="B70" s="52"/>
      <c r="C70" s="176"/>
      <c r="D70" s="12"/>
      <c r="E70" s="12"/>
      <c r="F70" s="12"/>
      <c r="G70" s="11"/>
      <c r="H70" s="11"/>
    </row>
    <row r="71" spans="2:8" ht="15">
      <c r="B71" s="52"/>
      <c r="C71" s="176"/>
      <c r="D71" s="12"/>
      <c r="E71" s="12"/>
      <c r="F71" s="12"/>
      <c r="G71" s="11"/>
      <c r="H71" s="11"/>
    </row>
    <row r="72" spans="2:8" ht="15">
      <c r="B72" s="52"/>
      <c r="C72" s="176"/>
      <c r="D72" s="12"/>
      <c r="E72" s="12"/>
      <c r="F72" s="12"/>
      <c r="G72" s="11"/>
      <c r="H72" s="11"/>
    </row>
    <row r="73" spans="2:8" ht="15">
      <c r="B73" s="52"/>
      <c r="C73" s="176"/>
      <c r="D73" s="12"/>
      <c r="E73" s="12"/>
      <c r="F73" s="12"/>
      <c r="G73" s="11"/>
      <c r="H73" s="11"/>
    </row>
    <row r="74" spans="2:8" ht="15">
      <c r="B74" s="52"/>
      <c r="C74" s="176"/>
      <c r="D74" s="12"/>
      <c r="E74" s="12"/>
      <c r="F74" s="12"/>
      <c r="G74" s="11"/>
      <c r="H74" s="11"/>
    </row>
    <row r="75" spans="2:8" ht="15">
      <c r="B75" s="52"/>
      <c r="C75" s="176"/>
      <c r="D75" s="12"/>
      <c r="E75" s="12"/>
      <c r="F75" s="12"/>
      <c r="G75" s="11"/>
      <c r="H75" s="11"/>
    </row>
    <row r="76" spans="2:8" ht="15">
      <c r="B76" s="52"/>
      <c r="C76" s="176"/>
      <c r="D76" s="12"/>
      <c r="E76" s="12"/>
      <c r="F76" s="12"/>
      <c r="G76" s="11"/>
      <c r="H76" s="11"/>
    </row>
    <row r="77" spans="2:8" ht="15">
      <c r="B77" s="52"/>
      <c r="C77" s="176"/>
      <c r="D77" s="12"/>
      <c r="E77" s="12"/>
      <c r="F77" s="12"/>
      <c r="G77" s="11"/>
      <c r="H77" s="11"/>
    </row>
    <row r="78" spans="2:8" ht="15">
      <c r="B78" s="52"/>
      <c r="C78" s="176"/>
      <c r="D78" s="12"/>
      <c r="E78" s="12"/>
      <c r="F78" s="12"/>
      <c r="G78" s="11"/>
      <c r="H78" s="11"/>
    </row>
    <row r="79" spans="2:8" ht="15">
      <c r="B79" s="52"/>
      <c r="C79" s="176"/>
      <c r="D79" s="12"/>
      <c r="E79" s="12"/>
      <c r="F79" s="12"/>
      <c r="G79" s="11"/>
      <c r="H79" s="11"/>
    </row>
    <row r="80" spans="2:8" ht="15">
      <c r="B80" s="52"/>
      <c r="C80" s="176"/>
      <c r="D80" s="12"/>
      <c r="E80" s="12"/>
      <c r="F80" s="12"/>
      <c r="G80" s="11"/>
      <c r="H80" s="11"/>
    </row>
    <row r="81" spans="2:8" ht="15">
      <c r="B81" s="52"/>
      <c r="C81" s="176"/>
      <c r="D81" s="12"/>
      <c r="E81" s="12"/>
      <c r="F81" s="12"/>
      <c r="G81" s="11"/>
      <c r="H81" s="11"/>
    </row>
    <row r="82" spans="2:8" ht="15">
      <c r="B82" s="52"/>
      <c r="C82" s="176"/>
      <c r="D82" s="12"/>
      <c r="E82" s="12"/>
      <c r="F82" s="12"/>
      <c r="G82" s="11"/>
      <c r="H82" s="11"/>
    </row>
    <row r="83" spans="2:8" ht="15">
      <c r="B83" s="52"/>
      <c r="C83" s="176"/>
      <c r="D83" s="12"/>
      <c r="E83" s="12"/>
      <c r="F83" s="12"/>
      <c r="G83" s="11"/>
      <c r="H83" s="11"/>
    </row>
    <row r="84" spans="2:8" ht="15">
      <c r="B84" s="52"/>
      <c r="C84" s="176"/>
      <c r="D84" s="12"/>
      <c r="E84" s="12"/>
      <c r="F84" s="12"/>
      <c r="G84" s="11"/>
      <c r="H84" s="11"/>
    </row>
    <row r="85" spans="2:8" ht="15">
      <c r="B85" s="52"/>
      <c r="C85" s="176"/>
      <c r="D85" s="12"/>
      <c r="E85" s="12"/>
      <c r="F85" s="12"/>
      <c r="G85" s="11"/>
      <c r="H85" s="11"/>
    </row>
    <row r="86" spans="2:8" ht="15">
      <c r="B86" s="52"/>
      <c r="C86" s="176"/>
      <c r="D86" s="12"/>
      <c r="E86" s="12"/>
      <c r="F86" s="12"/>
      <c r="G86" s="11"/>
      <c r="H86" s="11"/>
    </row>
    <row r="87" spans="2:8" ht="15">
      <c r="B87" s="52"/>
      <c r="C87" s="176"/>
      <c r="D87" s="12"/>
      <c r="E87" s="12"/>
      <c r="F87" s="12"/>
      <c r="G87" s="11"/>
      <c r="H87" s="11"/>
    </row>
    <row r="88" spans="2:8" ht="15">
      <c r="B88" s="52"/>
      <c r="C88" s="176"/>
      <c r="D88" s="12"/>
      <c r="E88" s="12"/>
      <c r="F88" s="12"/>
      <c r="G88" s="11"/>
      <c r="H88" s="11"/>
    </row>
    <row r="89" spans="2:8" ht="15">
      <c r="B89" s="52"/>
      <c r="C89" s="52"/>
      <c r="D89" s="12"/>
      <c r="E89" s="12"/>
      <c r="F89" s="12"/>
      <c r="G89" s="11"/>
      <c r="H89" s="11"/>
    </row>
    <row r="90" spans="2:8" ht="15">
      <c r="B90" s="52"/>
      <c r="C90" s="52"/>
      <c r="D90" s="12"/>
      <c r="E90" s="12"/>
      <c r="F90" s="12"/>
      <c r="G90" s="11"/>
      <c r="H90" s="11"/>
    </row>
    <row r="91" spans="2:8" ht="15">
      <c r="B91" s="52"/>
      <c r="C91" s="52"/>
      <c r="D91" s="12"/>
      <c r="E91" s="12"/>
      <c r="F91" s="12"/>
      <c r="G91" s="11"/>
      <c r="H91" s="11"/>
    </row>
    <row r="92" spans="2:8" ht="15">
      <c r="B92" s="52"/>
      <c r="C92" s="52"/>
      <c r="D92" s="12"/>
      <c r="E92" s="12"/>
      <c r="F92" s="12"/>
      <c r="G92" s="11"/>
      <c r="H92" s="11"/>
    </row>
    <row r="93" spans="2:8" ht="15">
      <c r="B93" s="52"/>
      <c r="C93" s="52"/>
      <c r="D93" s="12"/>
      <c r="E93" s="12"/>
      <c r="F93" s="12"/>
      <c r="G93" s="11"/>
      <c r="H93" s="11"/>
    </row>
  </sheetData>
  <sheetProtection/>
  <mergeCells count="13">
    <mergeCell ref="A6:H6"/>
    <mergeCell ref="A7:H7"/>
    <mergeCell ref="A10:A11"/>
    <mergeCell ref="B10:C11"/>
    <mergeCell ref="D10:D11"/>
    <mergeCell ref="G10:G11"/>
    <mergeCell ref="A8:H8"/>
    <mergeCell ref="H10:H11"/>
    <mergeCell ref="F10:F11"/>
    <mergeCell ref="E10:E11"/>
    <mergeCell ref="A14:G14"/>
    <mergeCell ref="B12:C12"/>
    <mergeCell ref="B13:C13"/>
  </mergeCells>
  <printOptions/>
  <pageMargins left="0.7" right="0.7" top="0.75" bottom="0.75" header="0.3" footer="0.3"/>
  <pageSetup horizontalDpi="180" verticalDpi="18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1"/>
  <sheetViews>
    <sheetView zoomScale="115" zoomScaleNormal="115" zoomScalePageLayoutView="0" workbookViewId="0" topLeftCell="B10">
      <selection activeCell="C30" sqref="C30"/>
    </sheetView>
  </sheetViews>
  <sheetFormatPr defaultColWidth="9.140625" defaultRowHeight="15"/>
  <cols>
    <col min="1" max="1" width="24.00390625" style="0" hidden="1" customWidth="1"/>
    <col min="3" max="3" width="65.140625" style="0" customWidth="1"/>
    <col min="4" max="4" width="18.00390625" style="0" customWidth="1"/>
    <col min="5" max="5" width="7.57421875" style="0" bestFit="1" customWidth="1"/>
  </cols>
  <sheetData>
    <row r="1" spans="2:6" ht="15.75">
      <c r="B1" s="81" t="s">
        <v>81</v>
      </c>
      <c r="C1" s="81"/>
      <c r="D1" s="82"/>
      <c r="E1" s="82"/>
      <c r="F1" s="82"/>
    </row>
    <row r="2" spans="2:6" ht="15.75">
      <c r="B2" s="81" t="s">
        <v>82</v>
      </c>
      <c r="C2" s="81"/>
      <c r="D2" s="82"/>
      <c r="E2" s="82"/>
      <c r="F2" s="82"/>
    </row>
    <row r="3" spans="2:6" ht="15.75">
      <c r="B3" s="81" t="s">
        <v>83</v>
      </c>
      <c r="C3" s="81"/>
      <c r="D3" s="82"/>
      <c r="E3" s="82"/>
      <c r="F3" s="82"/>
    </row>
    <row r="4" spans="2:6" ht="15.75">
      <c r="B4" s="81"/>
      <c r="C4" s="81"/>
      <c r="D4" s="82"/>
      <c r="E4" s="82"/>
      <c r="F4" s="82"/>
    </row>
    <row r="5" spans="1:6" ht="15.75">
      <c r="A5" s="75"/>
      <c r="B5" s="81" t="s">
        <v>84</v>
      </c>
      <c r="C5" s="81"/>
      <c r="D5" s="82"/>
      <c r="E5" s="82"/>
      <c r="F5" s="82"/>
    </row>
    <row r="6" spans="1:6" ht="15.75">
      <c r="A6" s="65"/>
      <c r="B6" s="81" t="s">
        <v>85</v>
      </c>
      <c r="C6" s="81"/>
      <c r="D6" s="82"/>
      <c r="E6" s="82"/>
      <c r="F6" s="82"/>
    </row>
    <row r="7" spans="1:6" ht="15.75">
      <c r="A7" s="63"/>
      <c r="B7" s="83"/>
      <c r="C7" s="84"/>
      <c r="D7" s="85"/>
      <c r="E7" s="84"/>
      <c r="F7" s="84"/>
    </row>
    <row r="8" spans="1:6" ht="15.75">
      <c r="A8" s="64"/>
      <c r="B8" s="86" t="s">
        <v>86</v>
      </c>
      <c r="C8" s="86" t="s">
        <v>87</v>
      </c>
      <c r="D8" s="86" t="s">
        <v>88</v>
      </c>
      <c r="E8" s="86" t="s">
        <v>89</v>
      </c>
      <c r="F8" s="86" t="s">
        <v>90</v>
      </c>
    </row>
    <row r="9" spans="1:6" ht="23.25" customHeight="1">
      <c r="A9" s="64"/>
      <c r="B9" s="87">
        <v>9</v>
      </c>
      <c r="C9" s="88" t="s">
        <v>91</v>
      </c>
      <c r="D9" s="87"/>
      <c r="E9" s="87"/>
      <c r="F9" s="87"/>
    </row>
    <row r="10" spans="1:6" ht="15.75">
      <c r="A10" s="75"/>
      <c r="B10" s="89"/>
      <c r="C10" s="90" t="s">
        <v>92</v>
      </c>
      <c r="D10" s="76">
        <v>110801</v>
      </c>
      <c r="E10" s="91"/>
      <c r="F10" s="91"/>
    </row>
    <row r="11" spans="1:6" ht="15.75">
      <c r="A11" s="65"/>
      <c r="B11" s="89"/>
      <c r="C11" s="135" t="s">
        <v>61</v>
      </c>
      <c r="D11" s="76">
        <v>110802</v>
      </c>
      <c r="E11" s="91"/>
      <c r="F11" s="91"/>
    </row>
    <row r="12" spans="1:6" ht="15.75">
      <c r="A12" s="64"/>
      <c r="B12" s="89"/>
      <c r="C12" s="135" t="s">
        <v>93</v>
      </c>
      <c r="D12" s="76" t="s">
        <v>94</v>
      </c>
      <c r="E12" s="91"/>
      <c r="F12" s="91"/>
    </row>
    <row r="13" spans="1:6" ht="15.75">
      <c r="A13" s="64"/>
      <c r="B13" s="89"/>
      <c r="C13" s="90" t="s">
        <v>95</v>
      </c>
      <c r="D13" s="77">
        <v>110803</v>
      </c>
      <c r="E13" s="91"/>
      <c r="F13" s="91"/>
    </row>
    <row r="14" spans="1:6" ht="15.75">
      <c r="A14" s="64"/>
      <c r="B14" s="89"/>
      <c r="C14" s="90" t="s">
        <v>96</v>
      </c>
      <c r="D14" s="77">
        <v>110804</v>
      </c>
      <c r="E14" s="91"/>
      <c r="F14" s="91"/>
    </row>
    <row r="15" spans="1:6" ht="15.75">
      <c r="A15" s="75"/>
      <c r="B15" s="89"/>
      <c r="C15" s="90" t="s">
        <v>97</v>
      </c>
      <c r="D15" s="77">
        <v>110805</v>
      </c>
      <c r="E15" s="91"/>
      <c r="F15" s="91"/>
    </row>
    <row r="16" spans="1:6" ht="15.75">
      <c r="A16" s="65"/>
      <c r="B16" s="89"/>
      <c r="C16" s="90" t="s">
        <v>98</v>
      </c>
      <c r="D16" s="77">
        <v>110806</v>
      </c>
      <c r="E16" s="91"/>
      <c r="F16" s="91"/>
    </row>
    <row r="17" spans="1:6" ht="15.75">
      <c r="A17" s="64"/>
      <c r="B17" s="89"/>
      <c r="C17" s="90" t="s">
        <v>99</v>
      </c>
      <c r="D17" s="77">
        <v>110807</v>
      </c>
      <c r="E17" s="91"/>
      <c r="F17" s="91"/>
    </row>
    <row r="18" spans="1:6" ht="15.75">
      <c r="A18" s="64"/>
      <c r="B18" s="89"/>
      <c r="C18" s="90" t="s">
        <v>100</v>
      </c>
      <c r="D18" s="77">
        <v>110808</v>
      </c>
      <c r="E18" s="91"/>
      <c r="F18" s="91"/>
    </row>
    <row r="19" spans="1:6" ht="15.75">
      <c r="A19" s="75"/>
      <c r="B19" s="89"/>
      <c r="C19" s="90" t="s">
        <v>101</v>
      </c>
      <c r="D19" s="77">
        <v>110809</v>
      </c>
      <c r="E19" s="91"/>
      <c r="F19" s="91"/>
    </row>
    <row r="20" spans="1:6" ht="15.75">
      <c r="A20" s="64"/>
      <c r="B20" s="89"/>
      <c r="C20" s="90" t="s">
        <v>102</v>
      </c>
      <c r="D20" s="77">
        <v>110810</v>
      </c>
      <c r="E20" s="91"/>
      <c r="F20" s="91"/>
    </row>
    <row r="21" spans="1:6" ht="15.75">
      <c r="A21" s="64"/>
      <c r="B21" s="89"/>
      <c r="C21" s="90" t="s">
        <v>103</v>
      </c>
      <c r="D21" s="77">
        <v>110811</v>
      </c>
      <c r="E21" s="91"/>
      <c r="F21" s="91"/>
    </row>
    <row r="22" spans="1:6" ht="15.75">
      <c r="A22" s="75"/>
      <c r="B22" s="89"/>
      <c r="C22" s="90" t="s">
        <v>104</v>
      </c>
      <c r="D22" s="77">
        <v>110812</v>
      </c>
      <c r="E22" s="91"/>
      <c r="F22" s="91"/>
    </row>
    <row r="23" spans="1:6" ht="15.75">
      <c r="A23" s="65"/>
      <c r="B23" s="89"/>
      <c r="C23" s="90" t="s">
        <v>105</v>
      </c>
      <c r="D23" s="77">
        <v>110813</v>
      </c>
      <c r="E23" s="91"/>
      <c r="F23" s="91"/>
    </row>
    <row r="24" spans="2:6" ht="15.75">
      <c r="B24" s="89"/>
      <c r="C24" s="90" t="s">
        <v>106</v>
      </c>
      <c r="D24" s="77">
        <v>110814</v>
      </c>
      <c r="E24" s="91"/>
      <c r="F24" s="91"/>
    </row>
    <row r="25" spans="2:6" ht="15.75">
      <c r="B25" s="89"/>
      <c r="C25" s="90" t="s">
        <v>107</v>
      </c>
      <c r="D25" s="77">
        <v>110815</v>
      </c>
      <c r="E25" s="91"/>
      <c r="F25" s="91"/>
    </row>
    <row r="26" spans="2:6" ht="15.75">
      <c r="B26" s="89"/>
      <c r="C26" s="90" t="s">
        <v>108</v>
      </c>
      <c r="D26" s="77">
        <v>110816</v>
      </c>
      <c r="E26" s="91"/>
      <c r="F26" s="91"/>
    </row>
    <row r="27" spans="2:6" ht="15.75">
      <c r="B27" s="89"/>
      <c r="C27" s="90" t="s">
        <v>62</v>
      </c>
      <c r="D27" s="77">
        <v>110851</v>
      </c>
      <c r="E27" s="91"/>
      <c r="F27" s="91"/>
    </row>
    <row r="28" spans="2:6" ht="15.75">
      <c r="B28" s="89"/>
      <c r="C28" s="90" t="s">
        <v>109</v>
      </c>
      <c r="D28" s="77">
        <v>110852</v>
      </c>
      <c r="E28" s="91"/>
      <c r="F28" s="91"/>
    </row>
    <row r="29" spans="2:6" ht="15.75">
      <c r="B29" s="89"/>
      <c r="C29" s="135" t="s">
        <v>110</v>
      </c>
      <c r="D29" s="76" t="s">
        <v>111</v>
      </c>
      <c r="E29" s="91"/>
      <c r="F29" s="91"/>
    </row>
    <row r="30" spans="2:6" ht="15.75">
      <c r="B30" s="89"/>
      <c r="C30" s="135"/>
      <c r="D30" s="77"/>
      <c r="E30" s="91"/>
      <c r="F30" s="91"/>
    </row>
    <row r="31" spans="2:6" ht="28.5" customHeight="1">
      <c r="B31" s="89">
        <v>10</v>
      </c>
      <c r="C31" s="122" t="s">
        <v>112</v>
      </c>
      <c r="D31" s="77"/>
      <c r="E31" s="91"/>
      <c r="F31" s="91"/>
    </row>
    <row r="32" spans="2:6" ht="15.75">
      <c r="B32" s="89"/>
      <c r="C32" s="135" t="s">
        <v>113</v>
      </c>
      <c r="D32" s="78">
        <v>140283</v>
      </c>
      <c r="E32" s="91"/>
      <c r="F32" s="91"/>
    </row>
    <row r="33" spans="2:6" ht="15.75">
      <c r="B33" s="89"/>
      <c r="C33" s="135" t="s">
        <v>114</v>
      </c>
      <c r="D33" s="78">
        <v>140288</v>
      </c>
      <c r="E33" s="91"/>
      <c r="F33" s="91"/>
    </row>
    <row r="34" spans="2:6" ht="15.75">
      <c r="B34" s="89"/>
      <c r="C34" s="135" t="s">
        <v>115</v>
      </c>
      <c r="D34" s="78">
        <v>140289</v>
      </c>
      <c r="E34" s="91"/>
      <c r="F34" s="91"/>
    </row>
    <row r="35" spans="2:6" ht="15.75">
      <c r="B35" s="89"/>
      <c r="C35" s="135" t="s">
        <v>116</v>
      </c>
      <c r="D35" s="78">
        <v>140290</v>
      </c>
      <c r="E35" s="91"/>
      <c r="F35" s="91"/>
    </row>
    <row r="36" spans="2:6" ht="15.75">
      <c r="B36" s="89"/>
      <c r="C36" s="90" t="s">
        <v>117</v>
      </c>
      <c r="D36" s="78">
        <v>140291</v>
      </c>
      <c r="E36" s="91"/>
      <c r="F36" s="91"/>
    </row>
    <row r="37" spans="2:6" ht="15.75">
      <c r="B37" s="89"/>
      <c r="C37" s="90" t="s">
        <v>118</v>
      </c>
      <c r="D37" s="78">
        <v>140292</v>
      </c>
      <c r="E37" s="91"/>
      <c r="F37" s="91"/>
    </row>
    <row r="38" spans="2:6" ht="15.75">
      <c r="B38" s="89"/>
      <c r="C38" s="90" t="s">
        <v>119</v>
      </c>
      <c r="D38" s="78">
        <v>140293</v>
      </c>
      <c r="E38" s="91"/>
      <c r="F38" s="91"/>
    </row>
    <row r="39" spans="2:6" ht="15.75">
      <c r="B39" s="89"/>
      <c r="C39" s="135" t="s">
        <v>120</v>
      </c>
      <c r="D39" s="78">
        <v>140294</v>
      </c>
      <c r="E39" s="91"/>
      <c r="F39" s="91"/>
    </row>
    <row r="40" spans="2:6" ht="15.75">
      <c r="B40" s="89"/>
      <c r="C40" s="90" t="s">
        <v>121</v>
      </c>
      <c r="D40" s="78">
        <v>140318</v>
      </c>
      <c r="E40" s="91"/>
      <c r="F40" s="91"/>
    </row>
    <row r="41" spans="2:6" ht="15.75">
      <c r="B41" s="89"/>
      <c r="C41" s="90" t="s">
        <v>122</v>
      </c>
      <c r="D41" s="78">
        <v>140348</v>
      </c>
      <c r="E41" s="91"/>
      <c r="F41" s="91"/>
    </row>
    <row r="42" spans="2:6" ht="15.75">
      <c r="B42" s="89"/>
      <c r="C42" s="90" t="s">
        <v>123</v>
      </c>
      <c r="D42" s="78">
        <v>140349</v>
      </c>
      <c r="E42" s="91"/>
      <c r="F42" s="91"/>
    </row>
    <row r="43" spans="2:6" ht="15.75">
      <c r="B43" s="89"/>
      <c r="C43" s="90" t="s">
        <v>124</v>
      </c>
      <c r="D43" s="78">
        <v>140351</v>
      </c>
      <c r="E43" s="91"/>
      <c r="F43" s="91"/>
    </row>
    <row r="44" spans="2:6" ht="15.75">
      <c r="B44" s="89"/>
      <c r="C44" s="90" t="s">
        <v>125</v>
      </c>
      <c r="D44" s="78">
        <v>140353</v>
      </c>
      <c r="E44" s="91"/>
      <c r="F44" s="91"/>
    </row>
    <row r="45" spans="2:6" ht="15.75">
      <c r="B45" s="89"/>
      <c r="C45" s="90" t="s">
        <v>126</v>
      </c>
      <c r="D45" s="78">
        <v>140369</v>
      </c>
      <c r="E45" s="91"/>
      <c r="F45" s="91"/>
    </row>
    <row r="46" spans="2:6" ht="15.75">
      <c r="B46" s="89"/>
      <c r="C46" s="90" t="s">
        <v>127</v>
      </c>
      <c r="D46" s="78">
        <v>140370</v>
      </c>
      <c r="E46" s="91"/>
      <c r="F46" s="91"/>
    </row>
    <row r="47" spans="2:6" ht="15.75">
      <c r="B47" s="89"/>
      <c r="C47" s="90" t="s">
        <v>128</v>
      </c>
      <c r="D47" s="78">
        <v>140371</v>
      </c>
      <c r="E47" s="91"/>
      <c r="F47" s="91"/>
    </row>
    <row r="48" spans="2:6" ht="15.75">
      <c r="B48" s="89"/>
      <c r="C48" s="90" t="s">
        <v>129</v>
      </c>
      <c r="D48" s="78">
        <v>140372</v>
      </c>
      <c r="E48" s="91"/>
      <c r="F48" s="91"/>
    </row>
    <row r="49" spans="2:6" ht="15.75">
      <c r="B49" s="89"/>
      <c r="C49" s="90" t="s">
        <v>130</v>
      </c>
      <c r="D49" s="78">
        <v>140373</v>
      </c>
      <c r="E49" s="91"/>
      <c r="F49" s="91"/>
    </row>
    <row r="50" spans="2:6" ht="15.75">
      <c r="B50" s="89"/>
      <c r="C50" s="90" t="s">
        <v>131</v>
      </c>
      <c r="D50" s="78">
        <v>140374</v>
      </c>
      <c r="E50" s="91"/>
      <c r="F50" s="91"/>
    </row>
    <row r="51" spans="2:6" ht="15.75">
      <c r="B51" s="89"/>
      <c r="C51" s="90" t="s">
        <v>132</v>
      </c>
      <c r="D51" s="78">
        <v>140375</v>
      </c>
      <c r="E51" s="91"/>
      <c r="F51" s="91"/>
    </row>
    <row r="52" spans="2:6" ht="15.75">
      <c r="B52" s="89"/>
      <c r="C52" s="90" t="s">
        <v>133</v>
      </c>
      <c r="D52" s="78">
        <v>140376</v>
      </c>
      <c r="E52" s="91"/>
      <c r="F52" s="91"/>
    </row>
    <row r="53" spans="2:6" ht="15.75">
      <c r="B53" s="89"/>
      <c r="C53" s="90" t="s">
        <v>134</v>
      </c>
      <c r="D53" s="78">
        <v>140377</v>
      </c>
      <c r="E53" s="91"/>
      <c r="F53" s="91"/>
    </row>
    <row r="54" spans="2:6" ht="15.75">
      <c r="B54" s="89"/>
      <c r="C54" s="90" t="s">
        <v>135</v>
      </c>
      <c r="D54" s="78">
        <v>140378</v>
      </c>
      <c r="E54" s="91"/>
      <c r="F54" s="91"/>
    </row>
    <row r="55" spans="2:6" ht="15.75">
      <c r="B55" s="89"/>
      <c r="C55" s="90" t="s">
        <v>136</v>
      </c>
      <c r="D55" s="78">
        <v>140379</v>
      </c>
      <c r="E55" s="91"/>
      <c r="F55" s="91"/>
    </row>
    <row r="56" spans="2:6" ht="15.75">
      <c r="B56" s="89"/>
      <c r="C56" s="90" t="s">
        <v>137</v>
      </c>
      <c r="D56" s="78">
        <v>140380</v>
      </c>
      <c r="E56" s="91"/>
      <c r="F56" s="91"/>
    </row>
    <row r="57" spans="2:6" ht="15.75">
      <c r="B57" s="89"/>
      <c r="C57" s="90" t="s">
        <v>138</v>
      </c>
      <c r="D57" s="78">
        <v>140381</v>
      </c>
      <c r="E57" s="91"/>
      <c r="F57" s="91"/>
    </row>
    <row r="58" spans="2:6" ht="15.75">
      <c r="B58" s="89"/>
      <c r="C58" s="90" t="s">
        <v>139</v>
      </c>
      <c r="D58" s="78">
        <v>140382</v>
      </c>
      <c r="E58" s="91"/>
      <c r="F58" s="91"/>
    </row>
    <row r="59" spans="2:6" ht="15.75">
      <c r="B59" s="89"/>
      <c r="C59" s="90" t="s">
        <v>140</v>
      </c>
      <c r="D59" s="78">
        <v>140383</v>
      </c>
      <c r="E59" s="91"/>
      <c r="F59" s="91"/>
    </row>
    <row r="60" spans="2:6" ht="15.75">
      <c r="B60" s="89"/>
      <c r="C60" s="90" t="s">
        <v>141</v>
      </c>
      <c r="D60" s="78">
        <v>140384</v>
      </c>
      <c r="E60" s="91"/>
      <c r="F60" s="91"/>
    </row>
    <row r="61" spans="2:6" ht="15.75">
      <c r="B61" s="89"/>
      <c r="C61" s="90" t="s">
        <v>142</v>
      </c>
      <c r="D61" s="78">
        <v>140385</v>
      </c>
      <c r="E61" s="91"/>
      <c r="F61" s="91"/>
    </row>
    <row r="62" spans="2:6" ht="15.75">
      <c r="B62" s="89"/>
      <c r="C62" s="90" t="s">
        <v>143</v>
      </c>
      <c r="D62" s="78">
        <v>140386</v>
      </c>
      <c r="E62" s="91"/>
      <c r="F62" s="91"/>
    </row>
    <row r="63" spans="2:6" ht="15.75">
      <c r="B63" s="89"/>
      <c r="C63" s="90" t="s">
        <v>144</v>
      </c>
      <c r="D63" s="78">
        <v>140387</v>
      </c>
      <c r="E63" s="91"/>
      <c r="F63" s="91"/>
    </row>
    <row r="64" spans="2:6" ht="15.75">
      <c r="B64" s="89"/>
      <c r="C64" s="90" t="s">
        <v>145</v>
      </c>
      <c r="D64" s="78">
        <v>140388</v>
      </c>
      <c r="E64" s="91"/>
      <c r="F64" s="91"/>
    </row>
    <row r="65" spans="2:6" ht="15.75">
      <c r="B65" s="89"/>
      <c r="C65" s="90" t="s">
        <v>146</v>
      </c>
      <c r="D65" s="78">
        <v>140389</v>
      </c>
      <c r="E65" s="91"/>
      <c r="F65" s="91"/>
    </row>
    <row r="66" spans="2:6" ht="15.75">
      <c r="B66" s="89"/>
      <c r="C66" s="90" t="s">
        <v>147</v>
      </c>
      <c r="D66" s="78">
        <v>140390</v>
      </c>
      <c r="E66" s="91"/>
      <c r="F66" s="91"/>
    </row>
    <row r="67" spans="2:6" ht="15.75">
      <c r="B67" s="89"/>
      <c r="C67" s="90" t="s">
        <v>148</v>
      </c>
      <c r="D67" s="78">
        <v>140391</v>
      </c>
      <c r="E67" s="91"/>
      <c r="F67" s="91"/>
    </row>
    <row r="68" spans="2:6" ht="15.75">
      <c r="B68" s="89"/>
      <c r="C68" s="90" t="s">
        <v>149</v>
      </c>
      <c r="D68" s="78">
        <v>140392</v>
      </c>
      <c r="E68" s="91"/>
      <c r="F68" s="91"/>
    </row>
    <row r="69" spans="2:6" ht="15.75">
      <c r="B69" s="89"/>
      <c r="C69" s="90" t="s">
        <v>150</v>
      </c>
      <c r="D69" s="78">
        <v>140393</v>
      </c>
      <c r="E69" s="91"/>
      <c r="F69" s="91"/>
    </row>
    <row r="70" spans="2:6" ht="15.75">
      <c r="B70" s="89"/>
      <c r="C70" s="90" t="s">
        <v>151</v>
      </c>
      <c r="D70" s="78">
        <v>140394</v>
      </c>
      <c r="E70" s="91"/>
      <c r="F70" s="91"/>
    </row>
    <row r="71" spans="2:6" ht="15.75">
      <c r="B71" s="89"/>
      <c r="C71" s="90" t="s">
        <v>152</v>
      </c>
      <c r="D71" s="78">
        <v>140395</v>
      </c>
      <c r="E71" s="91"/>
      <c r="F71" s="91"/>
    </row>
    <row r="72" spans="2:6" ht="15.75">
      <c r="B72" s="89"/>
      <c r="C72" s="90" t="s">
        <v>153</v>
      </c>
      <c r="D72" s="78">
        <v>140396</v>
      </c>
      <c r="E72" s="91"/>
      <c r="F72" s="91"/>
    </row>
    <row r="73" spans="2:6" ht="15.75">
      <c r="B73" s="89"/>
      <c r="C73" s="90" t="s">
        <v>154</v>
      </c>
      <c r="D73" s="78">
        <v>140397</v>
      </c>
      <c r="E73" s="91"/>
      <c r="F73" s="91"/>
    </row>
    <row r="74" spans="2:6" ht="15.75">
      <c r="B74" s="89"/>
      <c r="C74" s="90" t="s">
        <v>155</v>
      </c>
      <c r="D74" s="78">
        <v>140398</v>
      </c>
      <c r="E74" s="91"/>
      <c r="F74" s="91"/>
    </row>
    <row r="75" spans="2:6" ht="15.75">
      <c r="B75" s="89"/>
      <c r="C75" s="90" t="s">
        <v>156</v>
      </c>
      <c r="D75" s="78">
        <v>140399</v>
      </c>
      <c r="E75" s="91"/>
      <c r="F75" s="91"/>
    </row>
    <row r="76" spans="2:6" ht="15.75">
      <c r="B76" s="89"/>
      <c r="C76" s="90"/>
      <c r="D76" s="77"/>
      <c r="E76" s="91"/>
      <c r="F76" s="91"/>
    </row>
    <row r="77" spans="2:6" ht="24" customHeight="1">
      <c r="B77" s="87">
        <v>11</v>
      </c>
      <c r="C77" s="126" t="s">
        <v>157</v>
      </c>
      <c r="D77" s="77"/>
      <c r="E77" s="91"/>
      <c r="F77" s="91"/>
    </row>
    <row r="78" spans="2:6" ht="19.5" customHeight="1">
      <c r="B78" s="89"/>
      <c r="C78" s="92" t="s">
        <v>158</v>
      </c>
      <c r="D78" s="93"/>
      <c r="E78" s="91"/>
      <c r="F78" s="91"/>
    </row>
    <row r="79" spans="2:6" ht="15.75">
      <c r="B79" s="89"/>
      <c r="C79" s="94" t="s">
        <v>159</v>
      </c>
      <c r="D79" s="93"/>
      <c r="E79" s="91"/>
      <c r="F79" s="91"/>
    </row>
    <row r="80" spans="2:6" ht="15.75">
      <c r="B80" s="89"/>
      <c r="C80" s="135" t="s">
        <v>160</v>
      </c>
      <c r="D80" s="79">
        <v>130201</v>
      </c>
      <c r="E80" s="91"/>
      <c r="F80" s="91"/>
    </row>
    <row r="81" spans="2:6" ht="15.75">
      <c r="B81" s="89"/>
      <c r="C81" s="135" t="s">
        <v>161</v>
      </c>
      <c r="D81" s="79">
        <v>130202</v>
      </c>
      <c r="E81" s="91"/>
      <c r="F81" s="91"/>
    </row>
    <row r="82" spans="2:6" ht="15.75">
      <c r="B82" s="89"/>
      <c r="C82" s="135"/>
      <c r="D82" s="79"/>
      <c r="E82" s="91"/>
      <c r="F82" s="91"/>
    </row>
    <row r="83" spans="2:6" ht="15.75">
      <c r="B83" s="89"/>
      <c r="C83" s="135" t="s">
        <v>162</v>
      </c>
      <c r="D83" s="79">
        <v>130101</v>
      </c>
      <c r="E83" s="91"/>
      <c r="F83" s="91"/>
    </row>
    <row r="84" spans="2:6" ht="15.75">
      <c r="B84" s="89"/>
      <c r="C84" s="136" t="s">
        <v>163</v>
      </c>
      <c r="D84" s="79">
        <v>130102</v>
      </c>
      <c r="E84" s="91"/>
      <c r="F84" s="91"/>
    </row>
    <row r="85" spans="2:6" ht="15.75">
      <c r="B85" s="89"/>
      <c r="C85" s="136" t="s">
        <v>164</v>
      </c>
      <c r="D85" s="79">
        <v>130103</v>
      </c>
      <c r="E85" s="91"/>
      <c r="F85" s="91"/>
    </row>
    <row r="86" spans="2:6" ht="15.75">
      <c r="B86" s="89"/>
      <c r="C86" s="137" t="s">
        <v>165</v>
      </c>
      <c r="D86" s="79">
        <v>130104</v>
      </c>
      <c r="E86" s="91"/>
      <c r="F86" s="91"/>
    </row>
    <row r="87" spans="2:6" ht="15.75">
      <c r="B87" s="89"/>
      <c r="C87" s="137" t="s">
        <v>166</v>
      </c>
      <c r="D87" s="79">
        <v>130105</v>
      </c>
      <c r="E87" s="91"/>
      <c r="F87" s="91"/>
    </row>
    <row r="88" spans="2:6" ht="15.75">
      <c r="B88" s="89"/>
      <c r="C88" s="137" t="s">
        <v>167</v>
      </c>
      <c r="D88" s="79">
        <v>130106</v>
      </c>
      <c r="E88" s="91"/>
      <c r="F88" s="91"/>
    </row>
    <row r="89" spans="2:6" ht="15.75">
      <c r="B89" s="89"/>
      <c r="C89" s="136" t="s">
        <v>80</v>
      </c>
      <c r="D89" s="79">
        <v>130107</v>
      </c>
      <c r="E89" s="91"/>
      <c r="F89" s="91"/>
    </row>
    <row r="90" spans="2:6" ht="15.75">
      <c r="B90" s="89"/>
      <c r="C90" s="136" t="s">
        <v>168</v>
      </c>
      <c r="D90" s="79">
        <v>130108</v>
      </c>
      <c r="E90" s="91"/>
      <c r="F90" s="91"/>
    </row>
    <row r="91" spans="2:6" ht="15.75">
      <c r="B91" s="89"/>
      <c r="C91" s="137" t="s">
        <v>169</v>
      </c>
      <c r="D91" s="79">
        <v>130109</v>
      </c>
      <c r="E91" s="91"/>
      <c r="F91" s="91"/>
    </row>
    <row r="92" spans="2:6" ht="15.75">
      <c r="B92" s="89"/>
      <c r="C92" s="136" t="s">
        <v>170</v>
      </c>
      <c r="D92" s="79">
        <v>130110</v>
      </c>
      <c r="E92" s="91"/>
      <c r="F92" s="91"/>
    </row>
    <row r="93" spans="2:6" ht="15.75">
      <c r="B93" s="89"/>
      <c r="C93" s="137" t="s">
        <v>171</v>
      </c>
      <c r="D93" s="79">
        <v>130111</v>
      </c>
      <c r="E93" s="91"/>
      <c r="F93" s="91"/>
    </row>
    <row r="94" spans="2:6" ht="15.75">
      <c r="B94" s="89"/>
      <c r="C94" s="138" t="s">
        <v>172</v>
      </c>
      <c r="D94" s="79">
        <v>130112</v>
      </c>
      <c r="E94" s="91"/>
      <c r="F94" s="91"/>
    </row>
    <row r="95" spans="2:6" ht="15.75">
      <c r="B95" s="89"/>
      <c r="C95" s="139" t="s">
        <v>39</v>
      </c>
      <c r="D95" s="79">
        <v>130113</v>
      </c>
      <c r="E95" s="91"/>
      <c r="F95" s="91"/>
    </row>
    <row r="96" spans="2:6" ht="15.75">
      <c r="B96" s="89"/>
      <c r="C96" s="140" t="s">
        <v>173</v>
      </c>
      <c r="D96" s="79">
        <v>130114</v>
      </c>
      <c r="E96" s="91"/>
      <c r="F96" s="91"/>
    </row>
    <row r="97" spans="2:6" ht="15.75">
      <c r="B97" s="89"/>
      <c r="C97" s="136" t="s">
        <v>174</v>
      </c>
      <c r="D97" s="79">
        <v>130115</v>
      </c>
      <c r="E97" s="91"/>
      <c r="F97" s="91"/>
    </row>
    <row r="98" spans="2:6" ht="15.75">
      <c r="B98" s="89"/>
      <c r="C98" s="137" t="s">
        <v>175</v>
      </c>
      <c r="D98" s="79">
        <v>130116</v>
      </c>
      <c r="E98" s="91"/>
      <c r="F98" s="91"/>
    </row>
    <row r="99" spans="2:6" ht="15.75">
      <c r="B99" s="89"/>
      <c r="C99" s="136" t="s">
        <v>176</v>
      </c>
      <c r="D99" s="79">
        <v>130117</v>
      </c>
      <c r="E99" s="91"/>
      <c r="F99" s="91"/>
    </row>
    <row r="100" spans="2:6" ht="15.75">
      <c r="B100" s="89"/>
      <c r="C100" s="137" t="s">
        <v>177</v>
      </c>
      <c r="D100" s="79">
        <v>130118</v>
      </c>
      <c r="E100" s="91"/>
      <c r="F100" s="91"/>
    </row>
    <row r="101" spans="2:6" ht="15.75">
      <c r="B101" s="89"/>
      <c r="C101" s="137" t="s">
        <v>178</v>
      </c>
      <c r="D101" s="79">
        <v>130119</v>
      </c>
      <c r="E101" s="91"/>
      <c r="F101" s="91"/>
    </row>
    <row r="102" spans="2:6" ht="15.75">
      <c r="B102" s="89"/>
      <c r="C102" s="136" t="s">
        <v>179</v>
      </c>
      <c r="D102" s="79">
        <v>130120</v>
      </c>
      <c r="E102" s="91"/>
      <c r="F102" s="91"/>
    </row>
    <row r="103" spans="2:6" ht="15.75">
      <c r="B103" s="89"/>
      <c r="C103" s="137" t="s">
        <v>180</v>
      </c>
      <c r="D103" s="79">
        <v>130121</v>
      </c>
      <c r="E103" s="91"/>
      <c r="F103" s="91"/>
    </row>
    <row r="104" spans="2:6" ht="15.75">
      <c r="B104" s="89"/>
      <c r="C104" s="136" t="s">
        <v>181</v>
      </c>
      <c r="D104" s="79">
        <v>130122</v>
      </c>
      <c r="E104" s="91"/>
      <c r="F104" s="91"/>
    </row>
    <row r="105" spans="2:6" ht="15.75">
      <c r="B105" s="89"/>
      <c r="C105" s="136" t="s">
        <v>182</v>
      </c>
      <c r="D105" s="79">
        <v>130123</v>
      </c>
      <c r="E105" s="91"/>
      <c r="F105" s="91"/>
    </row>
    <row r="106" spans="2:6" ht="15.75">
      <c r="B106" s="89"/>
      <c r="C106" s="141" t="s">
        <v>183</v>
      </c>
      <c r="D106" s="77"/>
      <c r="E106" s="91"/>
      <c r="F106" s="91"/>
    </row>
    <row r="107" spans="2:6" ht="15.75">
      <c r="B107" s="89"/>
      <c r="C107" s="95" t="s">
        <v>184</v>
      </c>
      <c r="D107" s="77"/>
      <c r="E107" s="91"/>
      <c r="F107" s="91"/>
    </row>
    <row r="108" spans="2:6" ht="15.75">
      <c r="B108" s="89"/>
      <c r="C108" s="132" t="s">
        <v>185</v>
      </c>
      <c r="D108" s="77"/>
      <c r="E108" s="91"/>
      <c r="F108" s="91"/>
    </row>
    <row r="109" spans="2:6" ht="15.75">
      <c r="B109" s="89"/>
      <c r="C109" s="142" t="s">
        <v>186</v>
      </c>
      <c r="D109" s="77"/>
      <c r="E109" s="91"/>
      <c r="F109" s="91"/>
    </row>
    <row r="110" spans="2:6" ht="15.75">
      <c r="B110" s="89"/>
      <c r="C110" s="90"/>
      <c r="D110" s="77"/>
      <c r="E110" s="91"/>
      <c r="F110" s="91"/>
    </row>
    <row r="111" spans="2:6" ht="15.75">
      <c r="B111" s="87">
        <v>12</v>
      </c>
      <c r="C111" s="122" t="s">
        <v>187</v>
      </c>
      <c r="D111" s="77"/>
      <c r="E111" s="91"/>
      <c r="F111" s="91"/>
    </row>
    <row r="112" spans="2:6" ht="15.75">
      <c r="B112" s="89"/>
      <c r="C112" s="90" t="s">
        <v>188</v>
      </c>
      <c r="D112" s="77"/>
      <c r="E112" s="91"/>
      <c r="F112" s="91"/>
    </row>
    <row r="113" spans="2:6" ht="15.75">
      <c r="B113" s="89"/>
      <c r="C113" s="90" t="s">
        <v>189</v>
      </c>
      <c r="D113" s="77"/>
      <c r="E113" s="91"/>
      <c r="F113" s="91"/>
    </row>
    <row r="114" spans="2:6" ht="15.75">
      <c r="B114" s="89"/>
      <c r="C114" s="90"/>
      <c r="D114" s="77"/>
      <c r="E114" s="91"/>
      <c r="F114" s="91"/>
    </row>
    <row r="115" spans="2:6" ht="15.75">
      <c r="B115" s="87">
        <v>13</v>
      </c>
      <c r="C115" s="122" t="s">
        <v>190</v>
      </c>
      <c r="D115" s="97"/>
      <c r="E115" s="91"/>
      <c r="F115" s="91"/>
    </row>
    <row r="116" spans="2:6" ht="15.75">
      <c r="B116" s="89"/>
      <c r="C116" s="90" t="s">
        <v>114</v>
      </c>
      <c r="D116" s="77">
        <v>140289</v>
      </c>
      <c r="E116" s="91"/>
      <c r="F116" s="91"/>
    </row>
    <row r="117" spans="2:6" ht="15.75">
      <c r="B117" s="89"/>
      <c r="C117" s="90" t="s">
        <v>191</v>
      </c>
      <c r="D117" s="77" t="s">
        <v>192</v>
      </c>
      <c r="E117" s="91"/>
      <c r="F117" s="91"/>
    </row>
    <row r="118" spans="2:6" ht="15.75">
      <c r="B118" s="89"/>
      <c r="C118" s="90" t="s">
        <v>193</v>
      </c>
      <c r="D118" s="77" t="s">
        <v>194</v>
      </c>
      <c r="E118" s="91"/>
      <c r="F118" s="91"/>
    </row>
    <row r="119" spans="2:6" ht="15.75">
      <c r="B119" s="89"/>
      <c r="C119" s="90" t="s">
        <v>195</v>
      </c>
      <c r="D119" s="77" t="s">
        <v>196</v>
      </c>
      <c r="E119" s="91"/>
      <c r="F119" s="91"/>
    </row>
    <row r="120" spans="2:6" ht="15.75">
      <c r="B120" s="89"/>
      <c r="C120" s="143" t="s">
        <v>197</v>
      </c>
      <c r="D120" s="77" t="s">
        <v>198</v>
      </c>
      <c r="E120" s="91"/>
      <c r="F120" s="91"/>
    </row>
    <row r="121" spans="2:6" ht="15.75">
      <c r="B121" s="89"/>
      <c r="C121" s="90" t="s">
        <v>199</v>
      </c>
      <c r="D121" s="77" t="s">
        <v>200</v>
      </c>
      <c r="E121" s="91"/>
      <c r="F121" s="91"/>
    </row>
    <row r="122" spans="2:6" ht="15.75">
      <c r="B122" s="89"/>
      <c r="C122" s="90" t="s">
        <v>201</v>
      </c>
      <c r="D122" s="77">
        <v>140504</v>
      </c>
      <c r="E122" s="91"/>
      <c r="F122" s="91"/>
    </row>
    <row r="123" spans="2:6" ht="15.75">
      <c r="B123" s="89"/>
      <c r="C123" s="90" t="s">
        <v>202</v>
      </c>
      <c r="D123" s="77">
        <v>140505</v>
      </c>
      <c r="E123" s="91"/>
      <c r="F123" s="91"/>
    </row>
    <row r="124" spans="2:6" ht="15.75">
      <c r="B124" s="89"/>
      <c r="C124" s="90" t="s">
        <v>203</v>
      </c>
      <c r="D124" s="77">
        <v>140506</v>
      </c>
      <c r="E124" s="91"/>
      <c r="F124" s="91"/>
    </row>
    <row r="125" spans="2:6" ht="15.75">
      <c r="B125" s="98"/>
      <c r="C125" s="90" t="s">
        <v>204</v>
      </c>
      <c r="D125" s="77">
        <v>140507</v>
      </c>
      <c r="E125" s="91"/>
      <c r="F125" s="91"/>
    </row>
    <row r="126" spans="2:6" ht="15.75">
      <c r="B126" s="98"/>
      <c r="C126" s="90"/>
      <c r="D126" s="77"/>
      <c r="E126" s="91"/>
      <c r="F126" s="91"/>
    </row>
    <row r="127" spans="2:6" ht="28.5" customHeight="1">
      <c r="B127" s="87">
        <v>14</v>
      </c>
      <c r="C127" s="126" t="s">
        <v>205</v>
      </c>
      <c r="D127" s="77"/>
      <c r="E127" s="91"/>
      <c r="F127" s="91"/>
    </row>
    <row r="128" spans="2:6" ht="15.75">
      <c r="B128" s="89"/>
      <c r="C128" s="90" t="s">
        <v>206</v>
      </c>
      <c r="D128" s="77">
        <v>140703</v>
      </c>
      <c r="E128" s="91"/>
      <c r="F128" s="91"/>
    </row>
    <row r="129" spans="2:6" ht="15.75">
      <c r="B129" s="89"/>
      <c r="C129" s="90"/>
      <c r="D129" s="77"/>
      <c r="E129" s="91"/>
      <c r="F129" s="91"/>
    </row>
    <row r="130" spans="2:6" ht="15.75">
      <c r="B130" s="89"/>
      <c r="C130" s="90"/>
      <c r="D130" s="77"/>
      <c r="E130" s="91"/>
      <c r="F130" s="91"/>
    </row>
    <row r="131" spans="2:6" ht="23.25" customHeight="1">
      <c r="B131" s="87">
        <v>15</v>
      </c>
      <c r="C131" s="122" t="s">
        <v>207</v>
      </c>
      <c r="D131" s="77"/>
      <c r="E131" s="91"/>
      <c r="F131" s="91"/>
    </row>
    <row r="132" spans="2:6" ht="15.75">
      <c r="B132" s="89"/>
      <c r="C132" s="132" t="s">
        <v>208</v>
      </c>
      <c r="D132" s="77"/>
      <c r="E132" s="91"/>
      <c r="F132" s="91"/>
    </row>
    <row r="133" spans="2:6" ht="15.75">
      <c r="B133" s="89"/>
      <c r="C133" s="132"/>
      <c r="D133" s="77"/>
      <c r="E133" s="91"/>
      <c r="F133" s="91"/>
    </row>
    <row r="134" spans="2:6" ht="27.75" customHeight="1">
      <c r="B134" s="87">
        <v>16</v>
      </c>
      <c r="C134" s="126" t="s">
        <v>209</v>
      </c>
      <c r="D134" s="77"/>
      <c r="E134" s="91"/>
      <c r="F134" s="91"/>
    </row>
    <row r="135" spans="2:6" ht="15.75">
      <c r="B135" s="89"/>
      <c r="C135" s="90" t="s">
        <v>210</v>
      </c>
      <c r="D135" s="77">
        <v>140115</v>
      </c>
      <c r="E135" s="91"/>
      <c r="F135" s="91"/>
    </row>
    <row r="136" spans="2:6" ht="15.75">
      <c r="B136" s="89"/>
      <c r="C136" s="90" t="s">
        <v>211</v>
      </c>
      <c r="D136" s="77">
        <v>140116</v>
      </c>
      <c r="E136" s="91"/>
      <c r="F136" s="91"/>
    </row>
    <row r="137" spans="2:6" ht="15.75">
      <c r="B137" s="89"/>
      <c r="C137" s="90" t="s">
        <v>212</v>
      </c>
      <c r="D137" s="77">
        <v>140117</v>
      </c>
      <c r="E137" s="91"/>
      <c r="F137" s="91"/>
    </row>
    <row r="138" spans="2:6" ht="15.75">
      <c r="B138" s="89"/>
      <c r="C138" s="125"/>
      <c r="D138" s="77"/>
      <c r="E138" s="91"/>
      <c r="F138" s="91"/>
    </row>
    <row r="139" spans="2:6" ht="15.75">
      <c r="B139" s="89"/>
      <c r="C139" s="144"/>
      <c r="D139" s="79"/>
      <c r="E139" s="91"/>
      <c r="F139" s="91"/>
    </row>
    <row r="140" spans="2:6" ht="15.75">
      <c r="B140" s="87">
        <v>17</v>
      </c>
      <c r="C140" s="122" t="s">
        <v>213</v>
      </c>
      <c r="D140" s="91"/>
      <c r="E140" s="91"/>
      <c r="F140" s="91"/>
    </row>
    <row r="141" spans="2:6" ht="15.75">
      <c r="B141" s="87"/>
      <c r="C141" s="121" t="s">
        <v>214</v>
      </c>
      <c r="D141" s="91"/>
      <c r="E141" s="91"/>
      <c r="F141" s="91"/>
    </row>
    <row r="142" spans="2:6" ht="15.75">
      <c r="B142" s="89"/>
      <c r="C142" s="103" t="s">
        <v>215</v>
      </c>
      <c r="D142" s="101">
        <v>210101</v>
      </c>
      <c r="E142" s="91"/>
      <c r="F142" s="91"/>
    </row>
    <row r="143" spans="2:6" ht="15.75">
      <c r="B143" s="89"/>
      <c r="C143" s="103" t="s">
        <v>216</v>
      </c>
      <c r="D143" s="101">
        <v>210102</v>
      </c>
      <c r="E143" s="91"/>
      <c r="F143" s="91"/>
    </row>
    <row r="144" spans="2:6" ht="15.75">
      <c r="B144" s="89"/>
      <c r="C144" s="103" t="s">
        <v>53</v>
      </c>
      <c r="D144" s="101">
        <v>210103</v>
      </c>
      <c r="E144" s="91"/>
      <c r="F144" s="91"/>
    </row>
    <row r="145" spans="2:6" ht="15.75">
      <c r="B145" s="89"/>
      <c r="C145" s="103" t="s">
        <v>217</v>
      </c>
      <c r="D145" s="101">
        <v>210104</v>
      </c>
      <c r="E145" s="91"/>
      <c r="F145" s="91"/>
    </row>
    <row r="146" spans="2:6" ht="15.75">
      <c r="B146" s="89"/>
      <c r="C146" s="103" t="s">
        <v>218</v>
      </c>
      <c r="D146" s="101">
        <v>210105</v>
      </c>
      <c r="E146" s="91"/>
      <c r="F146" s="91"/>
    </row>
    <row r="147" spans="2:6" ht="15.75">
      <c r="B147" s="89"/>
      <c r="C147" s="103" t="s">
        <v>219</v>
      </c>
      <c r="D147" s="101">
        <v>210106</v>
      </c>
      <c r="E147" s="91"/>
      <c r="F147" s="91"/>
    </row>
    <row r="148" spans="2:6" ht="15.75">
      <c r="B148" s="89"/>
      <c r="C148" s="100"/>
      <c r="D148" s="101"/>
      <c r="E148" s="91"/>
      <c r="F148" s="91"/>
    </row>
    <row r="149" spans="2:6" ht="27" customHeight="1">
      <c r="B149" s="89"/>
      <c r="C149" s="134" t="s">
        <v>220</v>
      </c>
      <c r="D149" s="101"/>
      <c r="E149" s="91"/>
      <c r="F149" s="91"/>
    </row>
    <row r="150" spans="2:6" ht="15.75">
      <c r="B150" s="89"/>
      <c r="C150" s="100" t="s">
        <v>221</v>
      </c>
      <c r="D150" s="101">
        <v>210201</v>
      </c>
      <c r="E150" s="91"/>
      <c r="F150" s="91"/>
    </row>
    <row r="151" spans="2:6" ht="15.75">
      <c r="B151" s="89"/>
      <c r="C151" s="103" t="s">
        <v>222</v>
      </c>
      <c r="D151" s="101">
        <v>210202</v>
      </c>
      <c r="E151" s="91"/>
      <c r="F151" s="91"/>
    </row>
    <row r="152" spans="2:6" ht="15.75">
      <c r="B152" s="89"/>
      <c r="C152" s="100" t="s">
        <v>217</v>
      </c>
      <c r="D152" s="101">
        <v>210203</v>
      </c>
      <c r="E152" s="91"/>
      <c r="F152" s="91"/>
    </row>
    <row r="153" spans="2:6" ht="15.75">
      <c r="B153" s="89"/>
      <c r="C153" s="100" t="s">
        <v>223</v>
      </c>
      <c r="D153" s="101">
        <v>210204</v>
      </c>
      <c r="E153" s="91"/>
      <c r="F153" s="91"/>
    </row>
    <row r="154" spans="2:6" ht="15.75">
      <c r="B154" s="89"/>
      <c r="C154" s="103" t="s">
        <v>224</v>
      </c>
      <c r="D154" s="101">
        <v>210205</v>
      </c>
      <c r="E154" s="91"/>
      <c r="F154" s="91"/>
    </row>
    <row r="155" spans="2:6" ht="15.75">
      <c r="B155" s="89"/>
      <c r="C155" s="100" t="s">
        <v>225</v>
      </c>
      <c r="D155" s="101">
        <v>210206</v>
      </c>
      <c r="E155" s="91"/>
      <c r="F155" s="91"/>
    </row>
    <row r="156" spans="2:6" ht="15.75">
      <c r="B156" s="89"/>
      <c r="C156" s="103" t="s">
        <v>226</v>
      </c>
      <c r="D156" s="101">
        <v>210207</v>
      </c>
      <c r="E156" s="91"/>
      <c r="F156" s="91"/>
    </row>
    <row r="157" spans="2:6" ht="15.75">
      <c r="B157" s="89"/>
      <c r="C157" s="100" t="s">
        <v>227</v>
      </c>
      <c r="D157" s="101">
        <v>210208</v>
      </c>
      <c r="E157" s="91"/>
      <c r="F157" s="91"/>
    </row>
    <row r="158" spans="2:6" ht="15.75">
      <c r="B158" s="89"/>
      <c r="C158" s="102"/>
      <c r="D158" s="101">
        <v>210299</v>
      </c>
      <c r="E158" s="91"/>
      <c r="F158" s="91"/>
    </row>
    <row r="159" spans="2:6" ht="33" customHeight="1">
      <c r="B159" s="89"/>
      <c r="C159" s="102" t="s">
        <v>228</v>
      </c>
      <c r="D159" s="101"/>
      <c r="E159" s="91"/>
      <c r="F159" s="91"/>
    </row>
    <row r="160" spans="2:6" ht="15.75">
      <c r="B160" s="89"/>
      <c r="C160" s="100" t="s">
        <v>229</v>
      </c>
      <c r="D160" s="101">
        <v>210301</v>
      </c>
      <c r="E160" s="91"/>
      <c r="F160" s="91"/>
    </row>
    <row r="161" spans="2:6" ht="15.75">
      <c r="B161" s="89"/>
      <c r="C161" s="103" t="s">
        <v>230</v>
      </c>
      <c r="D161" s="101">
        <v>210302</v>
      </c>
      <c r="E161" s="91"/>
      <c r="F161" s="91"/>
    </row>
    <row r="162" spans="2:6" ht="15.75">
      <c r="B162" s="89"/>
      <c r="C162" s="100" t="s">
        <v>231</v>
      </c>
      <c r="D162" s="101">
        <v>210303</v>
      </c>
      <c r="E162" s="91"/>
      <c r="F162" s="91"/>
    </row>
    <row r="163" spans="2:6" ht="15.75">
      <c r="B163" s="89"/>
      <c r="C163" s="103" t="s">
        <v>232</v>
      </c>
      <c r="D163" s="101">
        <v>210304</v>
      </c>
      <c r="E163" s="91"/>
      <c r="F163" s="91"/>
    </row>
    <row r="164" spans="2:6" ht="15.75">
      <c r="B164" s="89"/>
      <c r="C164" s="100" t="s">
        <v>233</v>
      </c>
      <c r="D164" s="101">
        <v>210305</v>
      </c>
      <c r="E164" s="91"/>
      <c r="F164" s="91"/>
    </row>
    <row r="165" spans="2:6" ht="15.75">
      <c r="B165" s="89"/>
      <c r="C165" s="103" t="s">
        <v>234</v>
      </c>
      <c r="D165" s="101">
        <v>210306</v>
      </c>
      <c r="E165" s="91"/>
      <c r="F165" s="91"/>
    </row>
    <row r="166" spans="2:6" ht="15.75">
      <c r="B166" s="89"/>
      <c r="C166" s="100" t="s">
        <v>235</v>
      </c>
      <c r="D166" s="101">
        <v>210307</v>
      </c>
      <c r="E166" s="91"/>
      <c r="F166" s="91"/>
    </row>
    <row r="167" spans="2:6" ht="15.75">
      <c r="B167" s="89"/>
      <c r="C167" s="103" t="s">
        <v>236</v>
      </c>
      <c r="D167" s="101">
        <v>210308</v>
      </c>
      <c r="E167" s="91"/>
      <c r="F167" s="91"/>
    </row>
    <row r="168" spans="2:6" ht="15.75">
      <c r="B168" s="89"/>
      <c r="C168" s="100" t="s">
        <v>237</v>
      </c>
      <c r="D168" s="101">
        <v>210309</v>
      </c>
      <c r="E168" s="91"/>
      <c r="F168" s="91"/>
    </row>
    <row r="169" spans="2:6" ht="15.75">
      <c r="B169" s="89"/>
      <c r="C169" s="103" t="s">
        <v>238</v>
      </c>
      <c r="D169" s="101">
        <v>210310</v>
      </c>
      <c r="E169" s="91"/>
      <c r="F169" s="91"/>
    </row>
    <row r="170" spans="2:6" ht="15.75">
      <c r="B170" s="89"/>
      <c r="C170" s="100" t="s">
        <v>239</v>
      </c>
      <c r="D170" s="101">
        <v>210311</v>
      </c>
      <c r="E170" s="91"/>
      <c r="F170" s="91"/>
    </row>
    <row r="171" spans="2:6" ht="15.75">
      <c r="B171" s="89"/>
      <c r="C171" s="103" t="s">
        <v>240</v>
      </c>
      <c r="D171" s="101">
        <v>210312</v>
      </c>
      <c r="E171" s="91"/>
      <c r="F171" s="91"/>
    </row>
    <row r="172" spans="2:6" ht="15.75">
      <c r="B172" s="89"/>
      <c r="C172" s="100" t="s">
        <v>241</v>
      </c>
      <c r="D172" s="101">
        <v>210313</v>
      </c>
      <c r="E172" s="91"/>
      <c r="F172" s="91"/>
    </row>
    <row r="173" spans="2:6" ht="15.75">
      <c r="B173" s="89"/>
      <c r="C173" s="103" t="s">
        <v>242</v>
      </c>
      <c r="D173" s="101">
        <v>210314</v>
      </c>
      <c r="E173" s="91"/>
      <c r="F173" s="91"/>
    </row>
    <row r="174" spans="2:6" ht="15.75">
      <c r="B174" s="89"/>
      <c r="C174" s="100" t="s">
        <v>243</v>
      </c>
      <c r="D174" s="101">
        <v>210315</v>
      </c>
      <c r="E174" s="91"/>
      <c r="F174" s="91"/>
    </row>
    <row r="175" spans="2:6" ht="15.75">
      <c r="B175" s="89"/>
      <c r="C175" s="103" t="s">
        <v>244</v>
      </c>
      <c r="D175" s="101">
        <v>210316</v>
      </c>
      <c r="E175" s="91"/>
      <c r="F175" s="91"/>
    </row>
    <row r="176" spans="2:6" ht="15.75">
      <c r="B176" s="87"/>
      <c r="C176" s="100" t="s">
        <v>245</v>
      </c>
      <c r="D176" s="101">
        <v>210317</v>
      </c>
      <c r="E176" s="91"/>
      <c r="F176" s="91"/>
    </row>
    <row r="177" spans="2:6" ht="15.75">
      <c r="B177" s="89"/>
      <c r="C177" s="103" t="s">
        <v>246</v>
      </c>
      <c r="D177" s="101">
        <v>210318</v>
      </c>
      <c r="E177" s="91"/>
      <c r="F177" s="91"/>
    </row>
    <row r="178" spans="2:6" ht="15.75">
      <c r="B178" s="89"/>
      <c r="C178" s="100" t="s">
        <v>247</v>
      </c>
      <c r="D178" s="101">
        <v>210319</v>
      </c>
      <c r="E178" s="91"/>
      <c r="F178" s="91"/>
    </row>
    <row r="179" spans="2:6" ht="15.75">
      <c r="B179" s="89"/>
      <c r="C179" s="103" t="s">
        <v>248</v>
      </c>
      <c r="D179" s="101">
        <v>210320</v>
      </c>
      <c r="E179" s="91"/>
      <c r="F179" s="91"/>
    </row>
    <row r="180" spans="2:6" ht="15.75">
      <c r="B180" s="89"/>
      <c r="C180" s="100" t="s">
        <v>249</v>
      </c>
      <c r="D180" s="101">
        <v>210321</v>
      </c>
      <c r="E180" s="91"/>
      <c r="F180" s="91"/>
    </row>
    <row r="181" spans="2:6" ht="15.75">
      <c r="B181" s="89"/>
      <c r="C181" s="103" t="s">
        <v>250</v>
      </c>
      <c r="D181" s="101">
        <v>210322</v>
      </c>
      <c r="E181" s="91"/>
      <c r="F181" s="91"/>
    </row>
    <row r="182" spans="2:6" ht="15.75">
      <c r="B182" s="89"/>
      <c r="C182" s="100" t="s">
        <v>251</v>
      </c>
      <c r="D182" s="101">
        <v>210323</v>
      </c>
      <c r="E182" s="91"/>
      <c r="F182" s="91"/>
    </row>
    <row r="183" spans="2:6" ht="15.75">
      <c r="B183" s="89"/>
      <c r="C183" s="103" t="s">
        <v>252</v>
      </c>
      <c r="D183" s="101">
        <v>210324</v>
      </c>
      <c r="E183" s="91"/>
      <c r="F183" s="91"/>
    </row>
    <row r="184" spans="2:6" ht="15.75">
      <c r="B184" s="89"/>
      <c r="C184" s="100" t="s">
        <v>253</v>
      </c>
      <c r="D184" s="101">
        <v>210325</v>
      </c>
      <c r="E184" s="91"/>
      <c r="F184" s="91"/>
    </row>
    <row r="185" spans="2:6" ht="15.75">
      <c r="B185" s="89"/>
      <c r="C185" s="103" t="s">
        <v>254</v>
      </c>
      <c r="D185" s="101">
        <v>210326</v>
      </c>
      <c r="E185" s="91"/>
      <c r="F185" s="91"/>
    </row>
    <row r="186" spans="2:6" ht="15.75">
      <c r="B186" s="89"/>
      <c r="C186" s="100" t="s">
        <v>255</v>
      </c>
      <c r="D186" s="101">
        <v>210327</v>
      </c>
      <c r="E186" s="91"/>
      <c r="F186" s="91"/>
    </row>
    <row r="187" spans="2:6" ht="15.75">
      <c r="B187" s="89"/>
      <c r="C187" s="103" t="s">
        <v>256</v>
      </c>
      <c r="D187" s="101">
        <v>210328</v>
      </c>
      <c r="E187" s="91"/>
      <c r="F187" s="91"/>
    </row>
    <row r="188" spans="2:6" ht="15.75">
      <c r="B188" s="89"/>
      <c r="C188" s="100" t="s">
        <v>257</v>
      </c>
      <c r="D188" s="101">
        <v>210329</v>
      </c>
      <c r="E188" s="91"/>
      <c r="F188" s="91"/>
    </row>
    <row r="189" spans="2:6" ht="15.75">
      <c r="B189" s="89"/>
      <c r="C189" s="103" t="s">
        <v>258</v>
      </c>
      <c r="D189" s="101">
        <v>210401</v>
      </c>
      <c r="E189" s="91"/>
      <c r="F189" s="91"/>
    </row>
    <row r="190" spans="2:6" ht="15.75">
      <c r="B190" s="89"/>
      <c r="C190" s="100" t="s">
        <v>259</v>
      </c>
      <c r="D190" s="101">
        <v>210402</v>
      </c>
      <c r="E190" s="91"/>
      <c r="F190" s="91"/>
    </row>
    <row r="191" spans="2:6" ht="15.75">
      <c r="B191" s="89"/>
      <c r="C191" s="103" t="s">
        <v>260</v>
      </c>
      <c r="D191" s="101">
        <v>210403</v>
      </c>
      <c r="E191" s="91"/>
      <c r="F191" s="91"/>
    </row>
    <row r="192" spans="2:6" ht="15.75">
      <c r="B192" s="89"/>
      <c r="C192" s="103" t="s">
        <v>261</v>
      </c>
      <c r="D192" s="101">
        <v>210501</v>
      </c>
      <c r="E192" s="91"/>
      <c r="F192" s="91"/>
    </row>
    <row r="193" spans="2:6" ht="15.75">
      <c r="B193" s="89"/>
      <c r="C193" s="103" t="s">
        <v>262</v>
      </c>
      <c r="D193" s="101">
        <v>210502</v>
      </c>
      <c r="E193" s="91"/>
      <c r="F193" s="91"/>
    </row>
    <row r="194" spans="2:6" ht="15.75">
      <c r="B194" s="89"/>
      <c r="C194" s="103" t="s">
        <v>263</v>
      </c>
      <c r="D194" s="101">
        <v>210503</v>
      </c>
      <c r="E194" s="91"/>
      <c r="F194" s="91"/>
    </row>
    <row r="195" spans="2:6" ht="15.75">
      <c r="B195" s="89"/>
      <c r="C195" s="103" t="s">
        <v>264</v>
      </c>
      <c r="D195" s="101">
        <v>210504</v>
      </c>
      <c r="E195" s="91"/>
      <c r="F195" s="91"/>
    </row>
    <row r="196" spans="2:6" ht="15.75">
      <c r="B196" s="89"/>
      <c r="C196" s="103" t="s">
        <v>265</v>
      </c>
      <c r="D196" s="101">
        <v>210505</v>
      </c>
      <c r="E196" s="91"/>
      <c r="F196" s="91"/>
    </row>
    <row r="197" spans="2:6" ht="15.75">
      <c r="B197" s="89"/>
      <c r="C197" s="103" t="s">
        <v>266</v>
      </c>
      <c r="D197" s="101">
        <v>210506</v>
      </c>
      <c r="E197" s="91"/>
      <c r="F197" s="91"/>
    </row>
    <row r="198" spans="2:6" ht="15.75">
      <c r="B198" s="89"/>
      <c r="C198" s="103" t="s">
        <v>267</v>
      </c>
      <c r="D198" s="101">
        <v>210507</v>
      </c>
      <c r="E198" s="91"/>
      <c r="F198" s="91"/>
    </row>
    <row r="199" spans="2:6" ht="15.75">
      <c r="B199" s="89"/>
      <c r="C199" s="103" t="s">
        <v>268</v>
      </c>
      <c r="D199" s="101">
        <v>210508</v>
      </c>
      <c r="E199" s="91"/>
      <c r="F199" s="91"/>
    </row>
    <row r="200" spans="2:6" ht="27" customHeight="1">
      <c r="B200" s="89"/>
      <c r="C200" s="134" t="s">
        <v>269</v>
      </c>
      <c r="D200" s="101"/>
      <c r="E200" s="91"/>
      <c r="F200" s="91"/>
    </row>
    <row r="201" spans="2:6" ht="15.75">
      <c r="B201" s="89"/>
      <c r="C201" s="103" t="s">
        <v>270</v>
      </c>
      <c r="D201" s="101">
        <v>210601</v>
      </c>
      <c r="E201" s="91"/>
      <c r="F201" s="91"/>
    </row>
    <row r="202" spans="2:6" ht="15.75">
      <c r="B202" s="89"/>
      <c r="C202" s="103" t="s">
        <v>271</v>
      </c>
      <c r="D202" s="101">
        <v>210602</v>
      </c>
      <c r="E202" s="91"/>
      <c r="F202" s="91"/>
    </row>
    <row r="203" spans="2:6" ht="15.75">
      <c r="B203" s="89"/>
      <c r="C203" s="103" t="s">
        <v>272</v>
      </c>
      <c r="D203" s="101">
        <v>210603</v>
      </c>
      <c r="E203" s="91"/>
      <c r="F203" s="91"/>
    </row>
    <row r="204" spans="2:6" ht="15.75">
      <c r="B204" s="89"/>
      <c r="C204" s="103" t="s">
        <v>273</v>
      </c>
      <c r="D204" s="101">
        <v>210604</v>
      </c>
      <c r="E204" s="91"/>
      <c r="F204" s="91"/>
    </row>
    <row r="205" spans="2:6" ht="15.75">
      <c r="B205" s="89"/>
      <c r="C205" s="103" t="s">
        <v>274</v>
      </c>
      <c r="D205" s="101">
        <v>210605</v>
      </c>
      <c r="E205" s="91"/>
      <c r="F205" s="91"/>
    </row>
    <row r="206" spans="2:6" ht="15.75">
      <c r="B206" s="89"/>
      <c r="C206" s="103" t="s">
        <v>275</v>
      </c>
      <c r="D206" s="101">
        <v>210606</v>
      </c>
      <c r="E206" s="91"/>
      <c r="F206" s="91"/>
    </row>
    <row r="207" spans="2:6" ht="15.75">
      <c r="B207" s="89"/>
      <c r="C207" s="103" t="s">
        <v>276</v>
      </c>
      <c r="D207" s="101">
        <v>210607</v>
      </c>
      <c r="E207" s="91"/>
      <c r="F207" s="91"/>
    </row>
    <row r="208" spans="2:6" ht="15.75">
      <c r="B208" s="89"/>
      <c r="C208" s="103" t="s">
        <v>270</v>
      </c>
      <c r="D208" s="101">
        <v>210701</v>
      </c>
      <c r="E208" s="91"/>
      <c r="F208" s="91"/>
    </row>
    <row r="209" spans="2:6" ht="15.75">
      <c r="B209" s="89"/>
      <c r="C209" s="103" t="s">
        <v>271</v>
      </c>
      <c r="D209" s="101">
        <v>210702</v>
      </c>
      <c r="E209" s="91"/>
      <c r="F209" s="91"/>
    </row>
    <row r="210" spans="2:6" ht="15.75">
      <c r="B210" s="89"/>
      <c r="C210" s="103" t="s">
        <v>272</v>
      </c>
      <c r="D210" s="101">
        <v>210703</v>
      </c>
      <c r="E210" s="91"/>
      <c r="F210" s="91"/>
    </row>
    <row r="211" spans="2:6" ht="15.75">
      <c r="B211" s="89"/>
      <c r="C211" s="103" t="s">
        <v>273</v>
      </c>
      <c r="D211" s="101">
        <v>210704</v>
      </c>
      <c r="E211" s="91"/>
      <c r="F211" s="91"/>
    </row>
    <row r="212" spans="2:6" ht="15.75">
      <c r="B212" s="89"/>
      <c r="C212" s="103" t="s">
        <v>277</v>
      </c>
      <c r="D212" s="101">
        <v>210705</v>
      </c>
      <c r="E212" s="91"/>
      <c r="F212" s="91"/>
    </row>
    <row r="213" spans="2:6" ht="15.75">
      <c r="B213" s="89"/>
      <c r="C213" s="103" t="s">
        <v>275</v>
      </c>
      <c r="D213" s="101">
        <v>210706</v>
      </c>
      <c r="E213" s="91"/>
      <c r="F213" s="91"/>
    </row>
    <row r="214" spans="2:6" ht="15.75">
      <c r="B214" s="89"/>
      <c r="C214" s="103" t="s">
        <v>276</v>
      </c>
      <c r="D214" s="101">
        <v>210707</v>
      </c>
      <c r="E214" s="91"/>
      <c r="F214" s="91"/>
    </row>
    <row r="215" spans="2:6" ht="15.75">
      <c r="B215" s="89"/>
      <c r="C215" s="103"/>
      <c r="D215" s="101"/>
      <c r="E215" s="91"/>
      <c r="F215" s="91"/>
    </row>
    <row r="216" spans="2:6" ht="28.5" customHeight="1">
      <c r="B216" s="87">
        <v>18</v>
      </c>
      <c r="C216" s="106" t="s">
        <v>278</v>
      </c>
      <c r="D216" s="101"/>
      <c r="E216" s="91"/>
      <c r="F216" s="91"/>
    </row>
    <row r="217" spans="2:6" ht="15.75">
      <c r="B217" s="89"/>
      <c r="C217" s="103" t="s">
        <v>279</v>
      </c>
      <c r="D217" s="101">
        <v>220101</v>
      </c>
      <c r="E217" s="91"/>
      <c r="F217" s="91"/>
    </row>
    <row r="218" spans="2:6" ht="15.75">
      <c r="B218" s="89"/>
      <c r="C218" s="103" t="s">
        <v>280</v>
      </c>
      <c r="D218" s="101">
        <v>220102</v>
      </c>
      <c r="E218" s="91"/>
      <c r="F218" s="91"/>
    </row>
    <row r="219" spans="2:6" ht="15.75">
      <c r="B219" s="89"/>
      <c r="C219" s="103" t="s">
        <v>281</v>
      </c>
      <c r="D219" s="101">
        <v>220103</v>
      </c>
      <c r="E219" s="91"/>
      <c r="F219" s="91"/>
    </row>
    <row r="220" spans="2:6" ht="15.75">
      <c r="B220" s="89"/>
      <c r="C220" s="103" t="s">
        <v>282</v>
      </c>
      <c r="D220" s="101">
        <v>220104</v>
      </c>
      <c r="E220" s="91"/>
      <c r="F220" s="91"/>
    </row>
    <row r="221" spans="2:6" ht="15.75">
      <c r="B221" s="89"/>
      <c r="C221" s="103" t="s">
        <v>283</v>
      </c>
      <c r="D221" s="101">
        <v>220105</v>
      </c>
      <c r="E221" s="91"/>
      <c r="F221" s="91"/>
    </row>
    <row r="222" spans="2:6" ht="15.75">
      <c r="B222" s="89"/>
      <c r="C222" s="123" t="s">
        <v>284</v>
      </c>
      <c r="D222" s="101">
        <v>220106</v>
      </c>
      <c r="E222" s="91"/>
      <c r="F222" s="91"/>
    </row>
    <row r="223" spans="2:6" ht="15.75">
      <c r="B223" s="89"/>
      <c r="C223" s="103" t="s">
        <v>285</v>
      </c>
      <c r="D223" s="101">
        <v>220107</v>
      </c>
      <c r="E223" s="91"/>
      <c r="F223" s="91"/>
    </row>
    <row r="224" spans="2:6" ht="15.75">
      <c r="B224" s="89"/>
      <c r="C224" s="103" t="s">
        <v>286</v>
      </c>
      <c r="D224" s="101">
        <v>220108</v>
      </c>
      <c r="E224" s="91"/>
      <c r="F224" s="91"/>
    </row>
    <row r="225" spans="2:6" ht="15.75">
      <c r="B225" s="89"/>
      <c r="C225" s="103" t="s">
        <v>287</v>
      </c>
      <c r="D225" s="101">
        <v>220109</v>
      </c>
      <c r="E225" s="91"/>
      <c r="F225" s="91"/>
    </row>
    <row r="226" spans="2:6" ht="15.75">
      <c r="B226" s="89"/>
      <c r="C226" s="103" t="s">
        <v>288</v>
      </c>
      <c r="D226" s="101">
        <v>220110</v>
      </c>
      <c r="E226" s="91"/>
      <c r="F226" s="91"/>
    </row>
    <row r="227" spans="2:6" ht="15.75">
      <c r="B227" s="89"/>
      <c r="C227" s="103" t="s">
        <v>289</v>
      </c>
      <c r="D227" s="101">
        <v>220111</v>
      </c>
      <c r="E227" s="91"/>
      <c r="F227" s="91"/>
    </row>
    <row r="228" spans="2:6" ht="15.75">
      <c r="B228" s="89"/>
      <c r="C228" s="103" t="s">
        <v>290</v>
      </c>
      <c r="D228" s="101">
        <v>220112</v>
      </c>
      <c r="E228" s="91"/>
      <c r="F228" s="91"/>
    </row>
    <row r="229" spans="2:6" ht="15.75">
      <c r="B229" s="89"/>
      <c r="C229" s="103" t="s">
        <v>291</v>
      </c>
      <c r="D229" s="101">
        <v>220113</v>
      </c>
      <c r="E229" s="91"/>
      <c r="F229" s="91"/>
    </row>
    <row r="230" spans="2:6" ht="24.75" customHeight="1">
      <c r="B230" s="89"/>
      <c r="C230" s="133" t="s">
        <v>292</v>
      </c>
      <c r="D230" s="101"/>
      <c r="E230" s="91"/>
      <c r="F230" s="91"/>
    </row>
    <row r="231" spans="2:6" ht="15.75">
      <c r="B231" s="89"/>
      <c r="C231" s="103" t="s">
        <v>261</v>
      </c>
      <c r="D231" s="101">
        <v>220201</v>
      </c>
      <c r="E231" s="91"/>
      <c r="F231" s="91"/>
    </row>
    <row r="232" spans="2:6" ht="15.75">
      <c r="B232" s="89"/>
      <c r="C232" s="103" t="s">
        <v>293</v>
      </c>
      <c r="D232" s="101">
        <v>220202</v>
      </c>
      <c r="E232" s="91"/>
      <c r="F232" s="91"/>
    </row>
    <row r="233" spans="2:6" ht="15.75">
      <c r="B233" s="89"/>
      <c r="C233" s="103" t="s">
        <v>294</v>
      </c>
      <c r="D233" s="101">
        <v>220203</v>
      </c>
      <c r="E233" s="91"/>
      <c r="F233" s="91"/>
    </row>
    <row r="234" spans="2:6" ht="15.75">
      <c r="B234" s="89"/>
      <c r="C234" s="103" t="s">
        <v>295</v>
      </c>
      <c r="D234" s="101">
        <v>220204</v>
      </c>
      <c r="E234" s="91"/>
      <c r="F234" s="91"/>
    </row>
    <row r="235" spans="2:6" ht="15.75">
      <c r="B235" s="89"/>
      <c r="C235" s="103" t="s">
        <v>296</v>
      </c>
      <c r="D235" s="101">
        <v>220205</v>
      </c>
      <c r="E235" s="91"/>
      <c r="F235" s="91"/>
    </row>
    <row r="236" spans="2:6" ht="15.75">
      <c r="B236" s="89"/>
      <c r="C236" s="103" t="s">
        <v>297</v>
      </c>
      <c r="D236" s="101">
        <v>220206</v>
      </c>
      <c r="E236" s="91"/>
      <c r="F236" s="91"/>
    </row>
    <row r="237" spans="2:6" ht="28.5" customHeight="1">
      <c r="B237" s="89"/>
      <c r="C237" s="102" t="s">
        <v>298</v>
      </c>
      <c r="D237" s="101"/>
      <c r="E237" s="91"/>
      <c r="F237" s="91"/>
    </row>
    <row r="238" spans="2:6" ht="15.75">
      <c r="B238" s="89"/>
      <c r="C238" s="103" t="s">
        <v>299</v>
      </c>
      <c r="D238" s="101">
        <v>220301</v>
      </c>
      <c r="E238" s="91"/>
      <c r="F238" s="91"/>
    </row>
    <row r="239" spans="2:6" ht="15.75">
      <c r="B239" s="89"/>
      <c r="C239" s="103" t="s">
        <v>300</v>
      </c>
      <c r="D239" s="101">
        <v>220302</v>
      </c>
      <c r="E239" s="91"/>
      <c r="F239" s="91"/>
    </row>
    <row r="240" spans="2:6" ht="15.75">
      <c r="B240" s="89"/>
      <c r="C240" s="103" t="s">
        <v>301</v>
      </c>
      <c r="D240" s="101">
        <v>220303</v>
      </c>
      <c r="E240" s="91"/>
      <c r="F240" s="91"/>
    </row>
    <row r="241" spans="2:6" ht="15.75">
      <c r="B241" s="89"/>
      <c r="C241" s="103" t="s">
        <v>302</v>
      </c>
      <c r="D241" s="101">
        <v>220304</v>
      </c>
      <c r="E241" s="91"/>
      <c r="F241" s="91"/>
    </row>
    <row r="242" spans="2:6" ht="15.75">
      <c r="B242" s="89"/>
      <c r="C242" s="103" t="s">
        <v>303</v>
      </c>
      <c r="D242" s="101">
        <v>220305</v>
      </c>
      <c r="E242" s="91"/>
      <c r="F242" s="91"/>
    </row>
    <row r="243" spans="2:6" ht="15.75">
      <c r="B243" s="89"/>
      <c r="C243" s="103" t="s">
        <v>304</v>
      </c>
      <c r="D243" s="101">
        <v>220306</v>
      </c>
      <c r="E243" s="91"/>
      <c r="F243" s="91"/>
    </row>
    <row r="244" spans="2:6" ht="15.75">
      <c r="B244" s="89"/>
      <c r="C244" s="103" t="s">
        <v>305</v>
      </c>
      <c r="D244" s="101">
        <v>220307</v>
      </c>
      <c r="E244" s="91"/>
      <c r="F244" s="91"/>
    </row>
    <row r="245" spans="2:6" ht="15.75">
      <c r="B245" s="89"/>
      <c r="C245" s="103" t="s">
        <v>306</v>
      </c>
      <c r="D245" s="101">
        <v>220308</v>
      </c>
      <c r="E245" s="91"/>
      <c r="F245" s="91"/>
    </row>
    <row r="246" spans="2:6" ht="15.75">
      <c r="B246" s="89"/>
      <c r="C246" s="103" t="s">
        <v>307</v>
      </c>
      <c r="D246" s="101">
        <v>220309</v>
      </c>
      <c r="E246" s="91"/>
      <c r="F246" s="91"/>
    </row>
    <row r="247" spans="2:6" ht="15.75">
      <c r="B247" s="89"/>
      <c r="C247" s="103" t="s">
        <v>308</v>
      </c>
      <c r="D247" s="101">
        <v>220310</v>
      </c>
      <c r="E247" s="91"/>
      <c r="F247" s="91"/>
    </row>
    <row r="248" spans="2:6" ht="15.75">
      <c r="B248" s="89"/>
      <c r="C248" s="103" t="s">
        <v>309</v>
      </c>
      <c r="D248" s="101">
        <v>220311</v>
      </c>
      <c r="E248" s="91"/>
      <c r="F248" s="91"/>
    </row>
    <row r="249" spans="2:6" ht="15.75">
      <c r="B249" s="89"/>
      <c r="C249" s="103" t="s">
        <v>310</v>
      </c>
      <c r="D249" s="101">
        <v>220312</v>
      </c>
      <c r="E249" s="91"/>
      <c r="F249" s="91"/>
    </row>
    <row r="250" spans="2:6" ht="24" customHeight="1">
      <c r="B250" s="89"/>
      <c r="C250" s="102" t="s">
        <v>311</v>
      </c>
      <c r="D250" s="101"/>
      <c r="E250" s="91"/>
      <c r="F250" s="91"/>
    </row>
    <row r="251" spans="2:6" ht="15.75">
      <c r="B251" s="89"/>
      <c r="C251" s="103" t="s">
        <v>312</v>
      </c>
      <c r="D251" s="101">
        <v>220401</v>
      </c>
      <c r="E251" s="91"/>
      <c r="F251" s="91"/>
    </row>
    <row r="252" spans="2:6" ht="15.75">
      <c r="B252" s="89"/>
      <c r="C252" s="103" t="s">
        <v>313</v>
      </c>
      <c r="D252" s="101">
        <v>220402</v>
      </c>
      <c r="E252" s="91"/>
      <c r="F252" s="91"/>
    </row>
    <row r="253" spans="2:6" ht="15.75">
      <c r="B253" s="89"/>
      <c r="C253" s="103" t="s">
        <v>314</v>
      </c>
      <c r="D253" s="101">
        <v>220403</v>
      </c>
      <c r="E253" s="91"/>
      <c r="F253" s="91"/>
    </row>
    <row r="254" spans="2:6" ht="15.75">
      <c r="B254" s="89"/>
      <c r="C254" s="103" t="s">
        <v>315</v>
      </c>
      <c r="D254" s="101">
        <v>220404</v>
      </c>
      <c r="E254" s="91"/>
      <c r="F254" s="91"/>
    </row>
    <row r="255" spans="2:6" ht="15.75">
      <c r="B255" s="89"/>
      <c r="C255" s="103" t="s">
        <v>316</v>
      </c>
      <c r="D255" s="101">
        <v>220405</v>
      </c>
      <c r="E255" s="91"/>
      <c r="F255" s="91"/>
    </row>
    <row r="256" spans="2:6" ht="15.75">
      <c r="B256" s="89"/>
      <c r="C256" s="103" t="s">
        <v>317</v>
      </c>
      <c r="D256" s="101">
        <v>220406</v>
      </c>
      <c r="E256" s="91"/>
      <c r="F256" s="91"/>
    </row>
    <row r="257" spans="2:6" ht="15.75">
      <c r="B257" s="89"/>
      <c r="C257" s="103" t="s">
        <v>318</v>
      </c>
      <c r="D257" s="101">
        <v>220407</v>
      </c>
      <c r="E257" s="91"/>
      <c r="F257" s="91"/>
    </row>
    <row r="258" spans="2:6" ht="15.75">
      <c r="B258" s="89"/>
      <c r="C258" s="103" t="s">
        <v>319</v>
      </c>
      <c r="D258" s="101">
        <v>220408</v>
      </c>
      <c r="E258" s="91"/>
      <c r="F258" s="91"/>
    </row>
    <row r="259" spans="2:6" ht="15.75">
      <c r="B259" s="89"/>
      <c r="C259" s="103" t="s">
        <v>320</v>
      </c>
      <c r="D259" s="101">
        <v>220409</v>
      </c>
      <c r="E259" s="91"/>
      <c r="F259" s="91"/>
    </row>
    <row r="260" spans="2:6" ht="15.75">
      <c r="B260" s="89"/>
      <c r="C260" s="103" t="s">
        <v>321</v>
      </c>
      <c r="D260" s="101">
        <v>220410</v>
      </c>
      <c r="E260" s="91"/>
      <c r="F260" s="91"/>
    </row>
    <row r="261" spans="2:6" ht="15.75">
      <c r="B261" s="89"/>
      <c r="C261" s="103"/>
      <c r="D261" s="101"/>
      <c r="E261" s="91"/>
      <c r="F261" s="91"/>
    </row>
    <row r="262" spans="2:6" ht="15.75">
      <c r="B262" s="89"/>
      <c r="C262" s="104" t="s">
        <v>322</v>
      </c>
      <c r="D262" s="101"/>
      <c r="E262" s="91"/>
      <c r="F262" s="91"/>
    </row>
    <row r="263" spans="2:6" ht="15.75">
      <c r="B263" s="89"/>
      <c r="C263" s="103" t="s">
        <v>323</v>
      </c>
      <c r="D263" s="101">
        <v>220501</v>
      </c>
      <c r="E263" s="91"/>
      <c r="F263" s="91"/>
    </row>
    <row r="264" spans="2:6" ht="15.75">
      <c r="B264" s="89"/>
      <c r="C264" s="103" t="s">
        <v>324</v>
      </c>
      <c r="D264" s="101">
        <v>220502</v>
      </c>
      <c r="E264" s="91"/>
      <c r="F264" s="91"/>
    </row>
    <row r="265" spans="2:6" ht="15.75">
      <c r="B265" s="89"/>
      <c r="C265" s="103" t="s">
        <v>325</v>
      </c>
      <c r="D265" s="101">
        <v>220503</v>
      </c>
      <c r="E265" s="91"/>
      <c r="F265" s="91"/>
    </row>
    <row r="266" spans="2:6" ht="15.75">
      <c r="B266" s="89"/>
      <c r="C266" s="103" t="s">
        <v>326</v>
      </c>
      <c r="D266" s="101">
        <v>220504</v>
      </c>
      <c r="E266" s="91"/>
      <c r="F266" s="91"/>
    </row>
    <row r="267" spans="2:6" ht="15.75">
      <c r="B267" s="89"/>
      <c r="C267" s="103" t="s">
        <v>327</v>
      </c>
      <c r="D267" s="101">
        <v>220505</v>
      </c>
      <c r="E267" s="91"/>
      <c r="F267" s="91"/>
    </row>
    <row r="268" spans="2:6" ht="15.75">
      <c r="B268" s="89"/>
      <c r="C268" s="103" t="s">
        <v>328</v>
      </c>
      <c r="D268" s="101">
        <v>220506</v>
      </c>
      <c r="E268" s="91"/>
      <c r="F268" s="91"/>
    </row>
    <row r="269" spans="2:6" ht="15.75">
      <c r="B269" s="89"/>
      <c r="C269" s="103" t="s">
        <v>329</v>
      </c>
      <c r="D269" s="101">
        <v>220507</v>
      </c>
      <c r="E269" s="91"/>
      <c r="F269" s="91"/>
    </row>
    <row r="270" spans="2:6" ht="15.75">
      <c r="B270" s="89"/>
      <c r="C270" s="103" t="s">
        <v>330</v>
      </c>
      <c r="D270" s="101">
        <v>220508</v>
      </c>
      <c r="E270" s="91"/>
      <c r="F270" s="91"/>
    </row>
    <row r="271" spans="2:6" ht="15.75">
      <c r="B271" s="89"/>
      <c r="C271" s="103" t="s">
        <v>331</v>
      </c>
      <c r="D271" s="101">
        <v>220509</v>
      </c>
      <c r="E271" s="91"/>
      <c r="F271" s="91"/>
    </row>
    <row r="272" spans="2:6" ht="15.75">
      <c r="B272" s="89"/>
      <c r="C272" s="103" t="s">
        <v>332</v>
      </c>
      <c r="D272" s="101">
        <v>220510</v>
      </c>
      <c r="E272" s="91"/>
      <c r="F272" s="91"/>
    </row>
    <row r="273" spans="2:6" ht="15.75">
      <c r="B273" s="89"/>
      <c r="C273" s="103" t="s">
        <v>333</v>
      </c>
      <c r="D273" s="101">
        <v>220511</v>
      </c>
      <c r="E273" s="91"/>
      <c r="F273" s="91"/>
    </row>
    <row r="274" spans="2:6" ht="15.75">
      <c r="B274" s="89"/>
      <c r="C274" s="103" t="s">
        <v>334</v>
      </c>
      <c r="D274" s="101">
        <v>220512</v>
      </c>
      <c r="E274" s="91"/>
      <c r="F274" s="91"/>
    </row>
    <row r="275" spans="2:6" ht="15.75">
      <c r="B275" s="89"/>
      <c r="C275" s="103" t="s">
        <v>335</v>
      </c>
      <c r="D275" s="101">
        <v>220513</v>
      </c>
      <c r="E275" s="91"/>
      <c r="F275" s="91"/>
    </row>
    <row r="276" spans="2:6" ht="15.75">
      <c r="B276" s="89"/>
      <c r="C276" s="103" t="s">
        <v>336</v>
      </c>
      <c r="D276" s="101">
        <v>220514</v>
      </c>
      <c r="E276" s="91"/>
      <c r="F276" s="91"/>
    </row>
    <row r="277" spans="2:6" ht="15.75">
      <c r="B277" s="89"/>
      <c r="C277" s="103" t="s">
        <v>337</v>
      </c>
      <c r="D277" s="101">
        <v>220515</v>
      </c>
      <c r="E277" s="91"/>
      <c r="F277" s="91"/>
    </row>
    <row r="278" spans="2:6" ht="15.75">
      <c r="B278" s="89"/>
      <c r="C278" s="103" t="s">
        <v>338</v>
      </c>
      <c r="D278" s="101">
        <v>220516</v>
      </c>
      <c r="E278" s="91"/>
      <c r="F278" s="91"/>
    </row>
    <row r="279" spans="2:6" ht="15.75">
      <c r="B279" s="89"/>
      <c r="C279" s="103" t="s">
        <v>339</v>
      </c>
      <c r="D279" s="101">
        <v>220517</v>
      </c>
      <c r="E279" s="91"/>
      <c r="F279" s="91"/>
    </row>
    <row r="280" spans="2:6" ht="15.75">
      <c r="B280" s="89"/>
      <c r="C280" s="103" t="s">
        <v>339</v>
      </c>
      <c r="D280" s="101">
        <v>220518</v>
      </c>
      <c r="E280" s="91"/>
      <c r="F280" s="91"/>
    </row>
    <row r="281" spans="2:6" ht="15.75">
      <c r="B281" s="89"/>
      <c r="C281" s="103" t="s">
        <v>340</v>
      </c>
      <c r="D281" s="101">
        <v>220519</v>
      </c>
      <c r="E281" s="91"/>
      <c r="F281" s="91"/>
    </row>
    <row r="282" spans="2:6" ht="15.75">
      <c r="B282" s="89"/>
      <c r="C282" s="103" t="s">
        <v>341</v>
      </c>
      <c r="D282" s="101">
        <v>220520</v>
      </c>
      <c r="E282" s="91"/>
      <c r="F282" s="91"/>
    </row>
    <row r="283" spans="2:6" ht="15.75">
      <c r="B283" s="89"/>
      <c r="C283" s="103" t="s">
        <v>342</v>
      </c>
      <c r="D283" s="101">
        <v>220521</v>
      </c>
      <c r="E283" s="91"/>
      <c r="F283" s="91"/>
    </row>
    <row r="284" spans="2:6" ht="15.75">
      <c r="B284" s="89"/>
      <c r="C284" s="103" t="s">
        <v>343</v>
      </c>
      <c r="D284" s="101">
        <v>220522</v>
      </c>
      <c r="E284" s="91"/>
      <c r="F284" s="91"/>
    </row>
    <row r="285" spans="2:6" ht="15.75">
      <c r="B285" s="89"/>
      <c r="C285" s="103" t="s">
        <v>344</v>
      </c>
      <c r="D285" s="101">
        <v>220523</v>
      </c>
      <c r="E285" s="91"/>
      <c r="F285" s="91"/>
    </row>
    <row r="286" spans="2:6" ht="15.75">
      <c r="B286" s="89"/>
      <c r="C286" s="103" t="s">
        <v>345</v>
      </c>
      <c r="D286" s="101">
        <v>220524</v>
      </c>
      <c r="E286" s="91"/>
      <c r="F286" s="91"/>
    </row>
    <row r="287" spans="2:6" ht="15.75">
      <c r="B287" s="89"/>
      <c r="C287" s="103" t="s">
        <v>346</v>
      </c>
      <c r="D287" s="101">
        <v>220525</v>
      </c>
      <c r="E287" s="91"/>
      <c r="F287" s="91"/>
    </row>
    <row r="288" spans="2:6" ht="15.75">
      <c r="B288" s="89"/>
      <c r="C288" s="103" t="s">
        <v>347</v>
      </c>
      <c r="D288" s="101">
        <v>220526</v>
      </c>
      <c r="E288" s="91"/>
      <c r="F288" s="91"/>
    </row>
    <row r="289" spans="2:6" ht="15.75">
      <c r="B289" s="89"/>
      <c r="C289" s="103" t="s">
        <v>348</v>
      </c>
      <c r="D289" s="101">
        <v>220527</v>
      </c>
      <c r="E289" s="91"/>
      <c r="F289" s="91"/>
    </row>
    <row r="290" spans="2:6" ht="15.75">
      <c r="B290" s="89"/>
      <c r="C290" s="103" t="s">
        <v>349</v>
      </c>
      <c r="D290" s="101">
        <v>220528</v>
      </c>
      <c r="E290" s="91"/>
      <c r="F290" s="91"/>
    </row>
    <row r="291" spans="2:6" ht="15.75">
      <c r="B291" s="89"/>
      <c r="C291" s="103" t="s">
        <v>350</v>
      </c>
      <c r="D291" s="101">
        <v>220529</v>
      </c>
      <c r="E291" s="91"/>
      <c r="F291" s="91"/>
    </row>
    <row r="292" spans="2:6" ht="15.75">
      <c r="B292" s="89"/>
      <c r="C292" s="103"/>
      <c r="D292" s="101"/>
      <c r="E292" s="91"/>
      <c r="F292" s="91"/>
    </row>
    <row r="293" spans="2:6" ht="15.75">
      <c r="B293" s="89"/>
      <c r="C293" s="122" t="s">
        <v>351</v>
      </c>
      <c r="D293" s="101"/>
      <c r="E293" s="91"/>
      <c r="F293" s="91"/>
    </row>
    <row r="294" spans="2:6" ht="15.75">
      <c r="B294" s="89"/>
      <c r="C294" s="103" t="s">
        <v>352</v>
      </c>
      <c r="D294" s="101">
        <v>220601</v>
      </c>
      <c r="E294" s="91"/>
      <c r="F294" s="91"/>
    </row>
    <row r="295" spans="2:6" ht="15.75">
      <c r="B295" s="89"/>
      <c r="C295" s="103" t="s">
        <v>353</v>
      </c>
      <c r="D295" s="101">
        <v>220602</v>
      </c>
      <c r="E295" s="91"/>
      <c r="F295" s="91"/>
    </row>
    <row r="296" spans="2:6" ht="15.75">
      <c r="B296" s="89"/>
      <c r="C296" s="103" t="s">
        <v>354</v>
      </c>
      <c r="D296" s="101">
        <v>220603</v>
      </c>
      <c r="E296" s="91"/>
      <c r="F296" s="91"/>
    </row>
    <row r="297" spans="2:6" ht="15.75">
      <c r="B297" s="89"/>
      <c r="C297" s="103" t="s">
        <v>355</v>
      </c>
      <c r="D297" s="101">
        <v>220604</v>
      </c>
      <c r="E297" s="91"/>
      <c r="F297" s="91"/>
    </row>
    <row r="298" spans="2:6" ht="15.75">
      <c r="B298" s="89"/>
      <c r="C298" s="103" t="s">
        <v>356</v>
      </c>
      <c r="D298" s="101">
        <v>220605</v>
      </c>
      <c r="E298" s="91"/>
      <c r="F298" s="91"/>
    </row>
    <row r="299" spans="2:6" ht="15.75">
      <c r="B299" s="89"/>
      <c r="C299" s="103" t="s">
        <v>357</v>
      </c>
      <c r="D299" s="101">
        <v>220606</v>
      </c>
      <c r="E299" s="91"/>
      <c r="F299" s="91"/>
    </row>
    <row r="300" spans="2:6" ht="15.75">
      <c r="B300" s="89"/>
      <c r="C300" s="103" t="s">
        <v>358</v>
      </c>
      <c r="D300" s="101">
        <v>220607</v>
      </c>
      <c r="E300" s="91"/>
      <c r="F300" s="91"/>
    </row>
    <row r="301" spans="2:6" ht="15.75">
      <c r="B301" s="89"/>
      <c r="C301" s="103" t="s">
        <v>359</v>
      </c>
      <c r="D301" s="101">
        <v>220608</v>
      </c>
      <c r="E301" s="91"/>
      <c r="F301" s="91"/>
    </row>
    <row r="302" spans="2:6" ht="15.75">
      <c r="B302" s="89"/>
      <c r="C302" s="103" t="s">
        <v>360</v>
      </c>
      <c r="D302" s="101">
        <v>220609</v>
      </c>
      <c r="E302" s="91"/>
      <c r="F302" s="91"/>
    </row>
    <row r="303" spans="2:6" ht="15.75">
      <c r="B303" s="89"/>
      <c r="C303" s="103" t="s">
        <v>361</v>
      </c>
      <c r="D303" s="101">
        <v>220610</v>
      </c>
      <c r="E303" s="91"/>
      <c r="F303" s="91"/>
    </row>
    <row r="304" spans="2:6" ht="15.75">
      <c r="B304" s="89"/>
      <c r="C304" s="103" t="s">
        <v>362</v>
      </c>
      <c r="D304" s="101">
        <v>220611</v>
      </c>
      <c r="E304" s="91"/>
      <c r="F304" s="91"/>
    </row>
    <row r="305" spans="2:6" ht="15.75">
      <c r="B305" s="89"/>
      <c r="C305" s="103" t="s">
        <v>363</v>
      </c>
      <c r="D305" s="101">
        <v>220612</v>
      </c>
      <c r="E305" s="91"/>
      <c r="F305" s="91"/>
    </row>
    <row r="306" spans="2:6" ht="15.75">
      <c r="B306" s="89"/>
      <c r="C306" s="103"/>
      <c r="D306" s="101"/>
      <c r="E306" s="91"/>
      <c r="F306" s="91"/>
    </row>
    <row r="307" spans="2:6" ht="15.75">
      <c r="B307" s="89"/>
      <c r="C307" s="104" t="s">
        <v>364</v>
      </c>
      <c r="D307" s="101"/>
      <c r="E307" s="91"/>
      <c r="F307" s="91"/>
    </row>
    <row r="308" spans="2:6" ht="15.75">
      <c r="B308" s="89"/>
      <c r="C308" s="103" t="s">
        <v>365</v>
      </c>
      <c r="D308" s="101">
        <v>220701</v>
      </c>
      <c r="E308" s="91"/>
      <c r="F308" s="91"/>
    </row>
    <row r="309" spans="2:6" ht="15.75">
      <c r="B309" s="89"/>
      <c r="C309" s="103" t="s">
        <v>366</v>
      </c>
      <c r="D309" s="101">
        <v>220702</v>
      </c>
      <c r="E309" s="91"/>
      <c r="F309" s="91"/>
    </row>
    <row r="310" spans="2:6" ht="15.75">
      <c r="B310" s="89"/>
      <c r="C310" s="103" t="s">
        <v>367</v>
      </c>
      <c r="D310" s="101">
        <v>220703</v>
      </c>
      <c r="E310" s="91"/>
      <c r="F310" s="91"/>
    </row>
    <row r="311" spans="2:6" ht="15.75">
      <c r="B311" s="89"/>
      <c r="C311" s="103" t="s">
        <v>368</v>
      </c>
      <c r="D311" s="101">
        <v>220704</v>
      </c>
      <c r="E311" s="91"/>
      <c r="F311" s="91"/>
    </row>
    <row r="312" spans="2:6" ht="15.75">
      <c r="B312" s="89"/>
      <c r="C312" s="103" t="s">
        <v>369</v>
      </c>
      <c r="D312" s="101">
        <v>220705</v>
      </c>
      <c r="E312" s="91"/>
      <c r="F312" s="91"/>
    </row>
    <row r="313" spans="2:6" ht="15.75">
      <c r="B313" s="89"/>
      <c r="C313" s="103" t="s">
        <v>370</v>
      </c>
      <c r="D313" s="101">
        <v>220706</v>
      </c>
      <c r="E313" s="91"/>
      <c r="F313" s="91"/>
    </row>
    <row r="314" spans="2:6" ht="15.75">
      <c r="B314" s="89"/>
      <c r="C314" s="103" t="s">
        <v>371</v>
      </c>
      <c r="D314" s="101">
        <v>220707</v>
      </c>
      <c r="E314" s="91"/>
      <c r="F314" s="91"/>
    </row>
    <row r="315" spans="2:6" ht="15.75">
      <c r="B315" s="89"/>
      <c r="C315" s="103" t="s">
        <v>372</v>
      </c>
      <c r="D315" s="101">
        <v>220708</v>
      </c>
      <c r="E315" s="91"/>
      <c r="F315" s="91"/>
    </row>
    <row r="316" spans="2:6" ht="15.75">
      <c r="B316" s="89"/>
      <c r="C316" s="103" t="s">
        <v>373</v>
      </c>
      <c r="D316" s="101">
        <v>220709</v>
      </c>
      <c r="E316" s="91"/>
      <c r="F316" s="91"/>
    </row>
    <row r="317" spans="2:6" ht="15.75">
      <c r="B317" s="89"/>
      <c r="C317" s="103" t="s">
        <v>374</v>
      </c>
      <c r="D317" s="101">
        <v>220710</v>
      </c>
      <c r="E317" s="91"/>
      <c r="F317" s="91"/>
    </row>
    <row r="318" spans="2:6" ht="15.75">
      <c r="B318" s="89"/>
      <c r="C318" s="103"/>
      <c r="D318" s="101"/>
      <c r="E318" s="91"/>
      <c r="F318" s="91"/>
    </row>
    <row r="319" spans="2:6" ht="15.75">
      <c r="B319" s="89"/>
      <c r="C319" s="104" t="s">
        <v>375</v>
      </c>
      <c r="D319" s="101"/>
      <c r="E319" s="91"/>
      <c r="F319" s="91"/>
    </row>
    <row r="320" spans="2:6" ht="15.75">
      <c r="B320" s="89"/>
      <c r="C320" s="103" t="s">
        <v>376</v>
      </c>
      <c r="D320" s="101">
        <v>220801</v>
      </c>
      <c r="E320" s="91"/>
      <c r="F320" s="91"/>
    </row>
    <row r="321" spans="2:6" ht="15.75">
      <c r="B321" s="89"/>
      <c r="C321" s="103" t="s">
        <v>377</v>
      </c>
      <c r="D321" s="101">
        <v>220802</v>
      </c>
      <c r="E321" s="91"/>
      <c r="F321" s="91"/>
    </row>
    <row r="322" spans="2:6" ht="15.75">
      <c r="B322" s="89"/>
      <c r="C322" s="103" t="s">
        <v>378</v>
      </c>
      <c r="D322" s="101">
        <v>220803</v>
      </c>
      <c r="E322" s="91"/>
      <c r="F322" s="91"/>
    </row>
    <row r="323" spans="2:6" ht="15.75">
      <c r="B323" s="89"/>
      <c r="C323" s="103" t="s">
        <v>379</v>
      </c>
      <c r="D323" s="101">
        <v>220804</v>
      </c>
      <c r="E323" s="91"/>
      <c r="F323" s="91"/>
    </row>
    <row r="324" spans="2:6" ht="15.75">
      <c r="B324" s="89"/>
      <c r="C324" s="103" t="s">
        <v>380</v>
      </c>
      <c r="D324" s="101">
        <v>220805</v>
      </c>
      <c r="E324" s="91"/>
      <c r="F324" s="91"/>
    </row>
    <row r="325" spans="2:6" ht="15.75">
      <c r="B325" s="89"/>
      <c r="C325" s="103" t="s">
        <v>381</v>
      </c>
      <c r="D325" s="101">
        <v>220806</v>
      </c>
      <c r="E325" s="91"/>
      <c r="F325" s="91"/>
    </row>
    <row r="326" spans="2:6" ht="15.75">
      <c r="B326" s="89"/>
      <c r="C326" s="103" t="s">
        <v>382</v>
      </c>
      <c r="D326" s="101">
        <v>220807</v>
      </c>
      <c r="E326" s="91"/>
      <c r="F326" s="91"/>
    </row>
    <row r="327" spans="2:6" ht="15.75">
      <c r="B327" s="89"/>
      <c r="C327" s="103" t="s">
        <v>383</v>
      </c>
      <c r="D327" s="101">
        <v>220808</v>
      </c>
      <c r="E327" s="91"/>
      <c r="F327" s="91"/>
    </row>
    <row r="328" spans="2:6" ht="15.75">
      <c r="B328" s="89"/>
      <c r="C328" s="103" t="s">
        <v>384</v>
      </c>
      <c r="D328" s="101">
        <v>220809</v>
      </c>
      <c r="E328" s="91"/>
      <c r="F328" s="91"/>
    </row>
    <row r="329" spans="2:6" ht="15.75">
      <c r="B329" s="89"/>
      <c r="C329" s="103" t="s">
        <v>385</v>
      </c>
      <c r="D329" s="101">
        <v>220810</v>
      </c>
      <c r="E329" s="91"/>
      <c r="F329" s="91"/>
    </row>
    <row r="330" spans="2:6" ht="15.75">
      <c r="B330" s="89"/>
      <c r="C330" s="103" t="s">
        <v>386</v>
      </c>
      <c r="D330" s="101">
        <v>220811</v>
      </c>
      <c r="E330" s="91"/>
      <c r="F330" s="91"/>
    </row>
    <row r="331" spans="2:6" ht="15.75">
      <c r="B331" s="89"/>
      <c r="C331" s="103" t="s">
        <v>387</v>
      </c>
      <c r="D331" s="101">
        <v>220812</v>
      </c>
      <c r="E331" s="91"/>
      <c r="F331" s="91"/>
    </row>
    <row r="332" spans="2:6" ht="15.75">
      <c r="B332" s="89"/>
      <c r="C332" s="103" t="s">
        <v>388</v>
      </c>
      <c r="D332" s="101">
        <v>220813</v>
      </c>
      <c r="E332" s="91"/>
      <c r="F332" s="91"/>
    </row>
    <row r="333" spans="2:6" ht="15.75">
      <c r="B333" s="89"/>
      <c r="C333" s="103" t="s">
        <v>389</v>
      </c>
      <c r="D333" s="101">
        <v>220814</v>
      </c>
      <c r="E333" s="91"/>
      <c r="F333" s="91"/>
    </row>
    <row r="334" spans="2:6" ht="15.75">
      <c r="B334" s="89"/>
      <c r="C334" s="103"/>
      <c r="D334" s="101"/>
      <c r="E334" s="91"/>
      <c r="F334" s="91"/>
    </row>
    <row r="335" spans="2:6" ht="15.75">
      <c r="B335" s="89"/>
      <c r="C335" s="104" t="s">
        <v>390</v>
      </c>
      <c r="D335" s="101"/>
      <c r="E335" s="91"/>
      <c r="F335" s="91"/>
    </row>
    <row r="336" spans="2:6" ht="15.75">
      <c r="B336" s="89"/>
      <c r="C336" s="103" t="s">
        <v>384</v>
      </c>
      <c r="D336" s="101">
        <v>220901</v>
      </c>
      <c r="E336" s="91"/>
      <c r="F336" s="91"/>
    </row>
    <row r="337" spans="2:6" ht="15.75">
      <c r="B337" s="89"/>
      <c r="C337" s="103" t="s">
        <v>391</v>
      </c>
      <c r="D337" s="101">
        <v>220902</v>
      </c>
      <c r="E337" s="91"/>
      <c r="F337" s="91"/>
    </row>
    <row r="338" spans="2:6" ht="15.75">
      <c r="B338" s="89"/>
      <c r="C338" s="103" t="s">
        <v>392</v>
      </c>
      <c r="D338" s="101">
        <v>220903</v>
      </c>
      <c r="E338" s="91"/>
      <c r="F338" s="91"/>
    </row>
    <row r="339" spans="2:6" ht="15.75">
      <c r="B339" s="89"/>
      <c r="C339" s="103" t="s">
        <v>386</v>
      </c>
      <c r="D339" s="101">
        <v>220904</v>
      </c>
      <c r="E339" s="91"/>
      <c r="F339" s="91"/>
    </row>
    <row r="340" spans="2:6" ht="15.75">
      <c r="B340" s="89"/>
      <c r="C340" s="103" t="s">
        <v>393</v>
      </c>
      <c r="D340" s="101">
        <v>220905</v>
      </c>
      <c r="E340" s="91"/>
      <c r="F340" s="91"/>
    </row>
    <row r="341" spans="2:6" ht="15.75">
      <c r="B341" s="89"/>
      <c r="C341" s="103" t="s">
        <v>394</v>
      </c>
      <c r="D341" s="101">
        <v>220906</v>
      </c>
      <c r="E341" s="91"/>
      <c r="F341" s="91"/>
    </row>
    <row r="342" spans="2:6" ht="15.75">
      <c r="B342" s="89"/>
      <c r="C342" s="103" t="s">
        <v>395</v>
      </c>
      <c r="D342" s="101">
        <v>220907</v>
      </c>
      <c r="E342" s="91"/>
      <c r="F342" s="91"/>
    </row>
    <row r="343" spans="2:6" ht="15.75">
      <c r="B343" s="89"/>
      <c r="C343" s="103"/>
      <c r="D343" s="101"/>
      <c r="E343" s="91"/>
      <c r="F343" s="91"/>
    </row>
    <row r="344" spans="2:6" ht="15.75">
      <c r="B344" s="89"/>
      <c r="C344" s="124" t="s">
        <v>396</v>
      </c>
      <c r="D344" s="101"/>
      <c r="E344" s="91"/>
      <c r="F344" s="91"/>
    </row>
    <row r="345" spans="2:6" ht="15.75">
      <c r="B345" s="89"/>
      <c r="C345" s="103" t="s">
        <v>384</v>
      </c>
      <c r="D345" s="101">
        <v>221001</v>
      </c>
      <c r="E345" s="91"/>
      <c r="F345" s="91"/>
    </row>
    <row r="346" spans="2:6" ht="15.75">
      <c r="B346" s="89"/>
      <c r="C346" s="103" t="s">
        <v>397</v>
      </c>
      <c r="D346" s="101">
        <v>221002</v>
      </c>
      <c r="E346" s="91"/>
      <c r="F346" s="91"/>
    </row>
    <row r="347" spans="2:6" ht="15.75">
      <c r="B347" s="89"/>
      <c r="C347" s="103" t="s">
        <v>398</v>
      </c>
      <c r="D347" s="101">
        <v>221003</v>
      </c>
      <c r="E347" s="91"/>
      <c r="F347" s="91"/>
    </row>
    <row r="348" spans="2:6" ht="15.75">
      <c r="B348" s="89"/>
      <c r="C348" s="103" t="s">
        <v>399</v>
      </c>
      <c r="D348" s="101">
        <v>221004</v>
      </c>
      <c r="E348" s="91"/>
      <c r="F348" s="91"/>
    </row>
    <row r="349" spans="2:6" ht="15.75">
      <c r="B349" s="89"/>
      <c r="C349" s="103" t="s">
        <v>400</v>
      </c>
      <c r="D349" s="101">
        <v>221005</v>
      </c>
      <c r="E349" s="91"/>
      <c r="F349" s="91"/>
    </row>
    <row r="350" spans="2:6" ht="15.75">
      <c r="B350" s="89"/>
      <c r="C350" s="103" t="s">
        <v>384</v>
      </c>
      <c r="D350" s="101">
        <v>221101</v>
      </c>
      <c r="E350" s="91"/>
      <c r="F350" s="91"/>
    </row>
    <row r="351" spans="2:6" ht="15.75">
      <c r="B351" s="89"/>
      <c r="C351" s="103" t="s">
        <v>397</v>
      </c>
      <c r="D351" s="101">
        <v>221102</v>
      </c>
      <c r="E351" s="91"/>
      <c r="F351" s="91"/>
    </row>
    <row r="352" spans="2:6" ht="15.75">
      <c r="B352" s="89"/>
      <c r="C352" s="103" t="s">
        <v>398</v>
      </c>
      <c r="D352" s="101">
        <v>221103</v>
      </c>
      <c r="E352" s="91"/>
      <c r="F352" s="91"/>
    </row>
    <row r="353" spans="2:6" ht="15.75">
      <c r="B353" s="89"/>
      <c r="C353" s="103" t="s">
        <v>399</v>
      </c>
      <c r="D353" s="101">
        <v>221104</v>
      </c>
      <c r="E353" s="91"/>
      <c r="F353" s="91"/>
    </row>
    <row r="354" spans="2:6" ht="15.75">
      <c r="B354" s="89"/>
      <c r="C354" s="103" t="s">
        <v>401</v>
      </c>
      <c r="D354" s="101">
        <v>221105</v>
      </c>
      <c r="E354" s="91"/>
      <c r="F354" s="91"/>
    </row>
    <row r="355" spans="2:6" ht="15.75">
      <c r="B355" s="89"/>
      <c r="C355" s="103" t="s">
        <v>402</v>
      </c>
      <c r="D355" s="101">
        <v>221106</v>
      </c>
      <c r="E355" s="91"/>
      <c r="F355" s="91"/>
    </row>
    <row r="356" spans="2:6" ht="15.75">
      <c r="B356" s="89"/>
      <c r="C356" s="103" t="s">
        <v>403</v>
      </c>
      <c r="D356" s="101">
        <v>221107</v>
      </c>
      <c r="E356" s="91"/>
      <c r="F356" s="91"/>
    </row>
    <row r="357" spans="2:6" ht="15.75">
      <c r="B357" s="89"/>
      <c r="C357" s="103"/>
      <c r="D357" s="101"/>
      <c r="E357" s="91"/>
      <c r="F357" s="91"/>
    </row>
    <row r="358" spans="2:6" ht="15.75">
      <c r="B358" s="89"/>
      <c r="C358" s="122" t="s">
        <v>404</v>
      </c>
      <c r="D358" s="101"/>
      <c r="E358" s="91"/>
      <c r="F358" s="91"/>
    </row>
    <row r="359" spans="2:6" ht="15.75">
      <c r="B359" s="89"/>
      <c r="C359" s="103" t="s">
        <v>405</v>
      </c>
      <c r="D359" s="101">
        <v>221201</v>
      </c>
      <c r="E359" s="91"/>
      <c r="F359" s="91"/>
    </row>
    <row r="360" spans="2:6" ht="15.75">
      <c r="B360" s="89"/>
      <c r="C360" s="103" t="s">
        <v>406</v>
      </c>
      <c r="D360" s="101">
        <v>221202</v>
      </c>
      <c r="E360" s="91"/>
      <c r="F360" s="91"/>
    </row>
    <row r="361" spans="2:6" ht="15.75">
      <c r="B361" s="89"/>
      <c r="C361" s="103" t="s">
        <v>407</v>
      </c>
      <c r="D361" s="101">
        <v>221203</v>
      </c>
      <c r="E361" s="91"/>
      <c r="F361" s="91"/>
    </row>
    <row r="362" spans="2:6" ht="15.75">
      <c r="B362" s="89"/>
      <c r="C362" s="103" t="s">
        <v>408</v>
      </c>
      <c r="D362" s="101">
        <v>221204</v>
      </c>
      <c r="E362" s="91"/>
      <c r="F362" s="91"/>
    </row>
    <row r="363" spans="2:6" ht="15.75">
      <c r="B363" s="89"/>
      <c r="C363" s="103" t="s">
        <v>409</v>
      </c>
      <c r="D363" s="101">
        <v>221205</v>
      </c>
      <c r="E363" s="91"/>
      <c r="F363" s="91"/>
    </row>
    <row r="364" spans="2:6" ht="15.75">
      <c r="B364" s="89"/>
      <c r="C364" s="103" t="s">
        <v>410</v>
      </c>
      <c r="D364" s="101">
        <v>221206</v>
      </c>
      <c r="E364" s="91"/>
      <c r="F364" s="91"/>
    </row>
    <row r="365" spans="2:6" ht="15.75">
      <c r="B365" s="89"/>
      <c r="C365" s="103" t="s">
        <v>411</v>
      </c>
      <c r="D365" s="101">
        <v>221207</v>
      </c>
      <c r="E365" s="91"/>
      <c r="F365" s="91"/>
    </row>
    <row r="366" spans="2:6" ht="15.75">
      <c r="B366" s="89"/>
      <c r="C366" s="103" t="s">
        <v>412</v>
      </c>
      <c r="D366" s="101">
        <v>221208</v>
      </c>
      <c r="E366" s="91"/>
      <c r="F366" s="91"/>
    </row>
    <row r="367" spans="2:6" ht="15.75">
      <c r="B367" s="89"/>
      <c r="C367" s="103" t="s">
        <v>413</v>
      </c>
      <c r="D367" s="101">
        <v>221209</v>
      </c>
      <c r="E367" s="91"/>
      <c r="F367" s="91"/>
    </row>
    <row r="368" spans="2:6" ht="15.75">
      <c r="B368" s="89"/>
      <c r="C368" s="103" t="s">
        <v>414</v>
      </c>
      <c r="D368" s="101">
        <v>221210</v>
      </c>
      <c r="E368" s="91"/>
      <c r="F368" s="91"/>
    </row>
    <row r="369" spans="2:6" ht="15.75">
      <c r="B369" s="89"/>
      <c r="C369" s="103" t="s">
        <v>415</v>
      </c>
      <c r="D369" s="101">
        <v>221211</v>
      </c>
      <c r="E369" s="91"/>
      <c r="F369" s="91"/>
    </row>
    <row r="370" spans="2:6" ht="15.75">
      <c r="B370" s="89"/>
      <c r="C370" s="103" t="s">
        <v>416</v>
      </c>
      <c r="D370" s="101">
        <v>221212</v>
      </c>
      <c r="E370" s="91"/>
      <c r="F370" s="91"/>
    </row>
    <row r="371" spans="2:6" ht="15.75">
      <c r="B371" s="89"/>
      <c r="C371" s="103" t="s">
        <v>417</v>
      </c>
      <c r="D371" s="101">
        <v>221213</v>
      </c>
      <c r="E371" s="91"/>
      <c r="F371" s="91"/>
    </row>
    <row r="372" spans="2:6" ht="15.75">
      <c r="B372" s="89"/>
      <c r="C372" s="103" t="s">
        <v>418</v>
      </c>
      <c r="D372" s="101">
        <v>221214</v>
      </c>
      <c r="E372" s="91"/>
      <c r="F372" s="91"/>
    </row>
    <row r="373" spans="2:6" ht="15.75">
      <c r="B373" s="89"/>
      <c r="C373" s="103" t="s">
        <v>419</v>
      </c>
      <c r="D373" s="101">
        <v>221215</v>
      </c>
      <c r="E373" s="91"/>
      <c r="F373" s="91"/>
    </row>
    <row r="374" spans="2:6" ht="15.75">
      <c r="B374" s="89"/>
      <c r="C374" s="103" t="s">
        <v>420</v>
      </c>
      <c r="D374" s="101">
        <v>221216</v>
      </c>
      <c r="E374" s="91"/>
      <c r="F374" s="91"/>
    </row>
    <row r="375" spans="2:6" ht="15.75">
      <c r="B375" s="89"/>
      <c r="C375" s="103" t="s">
        <v>421</v>
      </c>
      <c r="D375" s="101">
        <v>221217</v>
      </c>
      <c r="E375" s="91"/>
      <c r="F375" s="91"/>
    </row>
    <row r="376" spans="2:6" ht="15.75">
      <c r="B376" s="89"/>
      <c r="C376" s="103" t="s">
        <v>422</v>
      </c>
      <c r="D376" s="101">
        <v>221218</v>
      </c>
      <c r="E376" s="91"/>
      <c r="F376" s="91"/>
    </row>
    <row r="377" spans="2:6" ht="15.75">
      <c r="B377" s="89"/>
      <c r="C377" s="103"/>
      <c r="D377" s="101"/>
      <c r="E377" s="91"/>
      <c r="F377" s="91"/>
    </row>
    <row r="378" spans="2:6" ht="15.75">
      <c r="B378" s="89"/>
      <c r="C378" s="122" t="s">
        <v>423</v>
      </c>
      <c r="D378" s="101"/>
      <c r="E378" s="91"/>
      <c r="F378" s="91"/>
    </row>
    <row r="379" spans="2:6" ht="15.75">
      <c r="B379" s="89"/>
      <c r="C379" s="103" t="s">
        <v>424</v>
      </c>
      <c r="D379" s="101">
        <v>221301</v>
      </c>
      <c r="E379" s="91"/>
      <c r="F379" s="91"/>
    </row>
    <row r="380" spans="2:6" ht="15.75">
      <c r="B380" s="89"/>
      <c r="C380" s="103" t="s">
        <v>425</v>
      </c>
      <c r="D380" s="101">
        <v>221302</v>
      </c>
      <c r="E380" s="91"/>
      <c r="F380" s="91"/>
    </row>
    <row r="381" spans="2:6" ht="15.75">
      <c r="B381" s="89"/>
      <c r="C381" s="103" t="s">
        <v>426</v>
      </c>
      <c r="D381" s="101">
        <v>221303</v>
      </c>
      <c r="E381" s="91"/>
      <c r="F381" s="91"/>
    </row>
    <row r="382" spans="2:6" ht="15.75">
      <c r="B382" s="89"/>
      <c r="C382" s="103" t="s">
        <v>427</v>
      </c>
      <c r="D382" s="101">
        <v>221304</v>
      </c>
      <c r="E382" s="91"/>
      <c r="F382" s="91"/>
    </row>
    <row r="383" spans="2:6" ht="15.75">
      <c r="B383" s="89"/>
      <c r="C383" s="103" t="s">
        <v>428</v>
      </c>
      <c r="D383" s="101">
        <v>221305</v>
      </c>
      <c r="E383" s="91"/>
      <c r="F383" s="91"/>
    </row>
    <row r="384" spans="2:6" ht="15.75">
      <c r="B384" s="89"/>
      <c r="C384" s="103" t="s">
        <v>429</v>
      </c>
      <c r="D384" s="101">
        <v>221306</v>
      </c>
      <c r="E384" s="91"/>
      <c r="F384" s="91"/>
    </row>
    <row r="385" spans="2:6" ht="15.75">
      <c r="B385" s="89"/>
      <c r="C385" s="103" t="s">
        <v>430</v>
      </c>
      <c r="D385" s="101">
        <v>221307</v>
      </c>
      <c r="E385" s="91"/>
      <c r="F385" s="91"/>
    </row>
    <row r="386" spans="2:6" ht="15.75">
      <c r="B386" s="89"/>
      <c r="C386" s="103" t="s">
        <v>431</v>
      </c>
      <c r="D386" s="101">
        <v>221308</v>
      </c>
      <c r="E386" s="91"/>
      <c r="F386" s="91"/>
    </row>
    <row r="387" spans="2:6" ht="15.75">
      <c r="B387" s="89"/>
      <c r="C387" s="103" t="s">
        <v>432</v>
      </c>
      <c r="D387" s="101">
        <v>221309</v>
      </c>
      <c r="E387" s="91"/>
      <c r="F387" s="91"/>
    </row>
    <row r="388" spans="2:6" ht="15.75">
      <c r="B388" s="89"/>
      <c r="C388" s="103" t="s">
        <v>433</v>
      </c>
      <c r="D388" s="101">
        <v>221310</v>
      </c>
      <c r="E388" s="91"/>
      <c r="F388" s="91"/>
    </row>
    <row r="389" spans="2:6" ht="15.75">
      <c r="B389" s="89"/>
      <c r="C389" s="103" t="s">
        <v>434</v>
      </c>
      <c r="D389" s="101">
        <v>221311</v>
      </c>
      <c r="E389" s="91"/>
      <c r="F389" s="91"/>
    </row>
    <row r="390" spans="2:6" ht="15.75">
      <c r="B390" s="89"/>
      <c r="C390" s="103" t="s">
        <v>435</v>
      </c>
      <c r="D390" s="101">
        <v>221312</v>
      </c>
      <c r="E390" s="91"/>
      <c r="F390" s="91"/>
    </row>
    <row r="391" spans="2:6" ht="15.75">
      <c r="B391" s="89"/>
      <c r="C391" s="103" t="s">
        <v>436</v>
      </c>
      <c r="D391" s="101">
        <v>221313</v>
      </c>
      <c r="E391" s="91"/>
      <c r="F391" s="91"/>
    </row>
    <row r="392" spans="2:6" ht="15.75">
      <c r="B392" s="89"/>
      <c r="C392" s="103" t="s">
        <v>437</v>
      </c>
      <c r="D392" s="101">
        <v>221314</v>
      </c>
      <c r="E392" s="91"/>
      <c r="F392" s="91"/>
    </row>
    <row r="393" spans="2:6" ht="15.75">
      <c r="B393" s="89"/>
      <c r="C393" s="103"/>
      <c r="D393" s="101"/>
      <c r="E393" s="91"/>
      <c r="F393" s="91"/>
    </row>
    <row r="394" spans="2:6" ht="15.75">
      <c r="B394" s="89"/>
      <c r="C394" s="122" t="s">
        <v>438</v>
      </c>
      <c r="D394" s="101"/>
      <c r="E394" s="91"/>
      <c r="F394" s="91"/>
    </row>
    <row r="395" spans="2:6" ht="15.75">
      <c r="B395" s="89"/>
      <c r="C395" s="103" t="s">
        <v>439</v>
      </c>
      <c r="D395" s="101">
        <v>221401</v>
      </c>
      <c r="E395" s="91"/>
      <c r="F395" s="91"/>
    </row>
    <row r="396" spans="2:6" ht="15.75">
      <c r="B396" s="89"/>
      <c r="C396" s="103" t="s">
        <v>440</v>
      </c>
      <c r="D396" s="101">
        <v>221402</v>
      </c>
      <c r="E396" s="91"/>
      <c r="F396" s="91"/>
    </row>
    <row r="397" spans="2:6" ht="15.75">
      <c r="B397" s="89"/>
      <c r="C397" s="103" t="s">
        <v>441</v>
      </c>
      <c r="D397" s="101">
        <v>221403</v>
      </c>
      <c r="E397" s="91"/>
      <c r="F397" s="91"/>
    </row>
    <row r="398" spans="2:6" ht="15.75">
      <c r="B398" s="89"/>
      <c r="C398" s="103" t="s">
        <v>442</v>
      </c>
      <c r="D398" s="101">
        <v>221404</v>
      </c>
      <c r="E398" s="91"/>
      <c r="F398" s="91"/>
    </row>
    <row r="399" spans="2:6" ht="15.75">
      <c r="B399" s="89"/>
      <c r="C399" s="103" t="s">
        <v>443</v>
      </c>
      <c r="D399" s="101">
        <v>221405</v>
      </c>
      <c r="E399" s="91"/>
      <c r="F399" s="91"/>
    </row>
    <row r="400" spans="2:6" ht="15.75">
      <c r="B400" s="89"/>
      <c r="C400" s="103" t="s">
        <v>444</v>
      </c>
      <c r="D400" s="101">
        <v>221406</v>
      </c>
      <c r="E400" s="91"/>
      <c r="F400" s="91"/>
    </row>
    <row r="401" spans="2:6" ht="15.75">
      <c r="B401" s="89"/>
      <c r="C401" s="103"/>
      <c r="D401" s="101"/>
      <c r="E401" s="91"/>
      <c r="F401" s="91"/>
    </row>
    <row r="402" spans="2:6" ht="15.75">
      <c r="B402" s="89"/>
      <c r="C402" s="104" t="s">
        <v>445</v>
      </c>
      <c r="D402" s="101"/>
      <c r="E402" s="91"/>
      <c r="F402" s="91"/>
    </row>
    <row r="403" spans="2:6" ht="15.75">
      <c r="B403" s="89"/>
      <c r="C403" s="103" t="s">
        <v>446</v>
      </c>
      <c r="D403" s="101">
        <v>221501</v>
      </c>
      <c r="E403" s="91"/>
      <c r="F403" s="91"/>
    </row>
    <row r="404" spans="2:6" ht="15.75">
      <c r="B404" s="89"/>
      <c r="C404" s="103" t="s">
        <v>447</v>
      </c>
      <c r="D404" s="101">
        <v>221502</v>
      </c>
      <c r="E404" s="91"/>
      <c r="F404" s="91"/>
    </row>
    <row r="405" spans="2:6" ht="15.75">
      <c r="B405" s="89"/>
      <c r="C405" s="103" t="s">
        <v>448</v>
      </c>
      <c r="D405" s="101">
        <v>221503</v>
      </c>
      <c r="E405" s="91"/>
      <c r="F405" s="91"/>
    </row>
    <row r="406" spans="2:6" ht="15.75">
      <c r="B406" s="89"/>
      <c r="C406" s="103" t="s">
        <v>449</v>
      </c>
      <c r="D406" s="101">
        <v>221504</v>
      </c>
      <c r="E406" s="91"/>
      <c r="F406" s="91"/>
    </row>
    <row r="407" spans="2:6" ht="15.75">
      <c r="B407" s="89"/>
      <c r="C407" s="103" t="s">
        <v>450</v>
      </c>
      <c r="D407" s="101">
        <v>221505</v>
      </c>
      <c r="E407" s="91"/>
      <c r="F407" s="91"/>
    </row>
    <row r="408" spans="2:6" ht="15.75">
      <c r="B408" s="89"/>
      <c r="C408" s="103" t="s">
        <v>451</v>
      </c>
      <c r="D408" s="101">
        <v>221506</v>
      </c>
      <c r="E408" s="91"/>
      <c r="F408" s="91"/>
    </row>
    <row r="409" spans="2:6" ht="15.75">
      <c r="B409" s="89"/>
      <c r="C409" s="103" t="s">
        <v>452</v>
      </c>
      <c r="D409" s="101">
        <v>221507</v>
      </c>
      <c r="E409" s="91"/>
      <c r="F409" s="91"/>
    </row>
    <row r="410" spans="2:6" ht="15.75">
      <c r="B410" s="89"/>
      <c r="C410" s="103" t="s">
        <v>453</v>
      </c>
      <c r="D410" s="101">
        <v>221508</v>
      </c>
      <c r="E410" s="91"/>
      <c r="F410" s="91"/>
    </row>
    <row r="411" spans="2:6" ht="15.75">
      <c r="B411" s="89"/>
      <c r="C411" s="103"/>
      <c r="D411" s="101"/>
      <c r="E411" s="91"/>
      <c r="F411" s="91"/>
    </row>
    <row r="412" spans="2:6" ht="15.75">
      <c r="B412" s="89"/>
      <c r="C412" s="105" t="s">
        <v>454</v>
      </c>
      <c r="D412" s="101"/>
      <c r="E412" s="91"/>
      <c r="F412" s="91"/>
    </row>
    <row r="413" spans="2:6" ht="15.75">
      <c r="B413" s="89"/>
      <c r="C413" s="103" t="s">
        <v>455</v>
      </c>
      <c r="D413" s="101">
        <v>221601</v>
      </c>
      <c r="E413" s="91"/>
      <c r="F413" s="91"/>
    </row>
    <row r="414" spans="2:6" ht="15.75">
      <c r="B414" s="89"/>
      <c r="C414" s="103" t="s">
        <v>456</v>
      </c>
      <c r="D414" s="101">
        <v>221602</v>
      </c>
      <c r="E414" s="91"/>
      <c r="F414" s="91"/>
    </row>
    <row r="415" spans="2:6" ht="15.75">
      <c r="B415" s="89"/>
      <c r="C415" s="103" t="s">
        <v>457</v>
      </c>
      <c r="D415" s="101">
        <v>221701</v>
      </c>
      <c r="E415" s="91"/>
      <c r="F415" s="91"/>
    </row>
    <row r="416" spans="2:6" ht="15.75">
      <c r="B416" s="89"/>
      <c r="C416" s="103" t="s">
        <v>458</v>
      </c>
      <c r="D416" s="101">
        <v>221702</v>
      </c>
      <c r="E416" s="91"/>
      <c r="F416" s="91"/>
    </row>
    <row r="417" spans="2:6" ht="15.75">
      <c r="B417" s="89"/>
      <c r="C417" s="103" t="s">
        <v>459</v>
      </c>
      <c r="D417" s="101">
        <v>221703</v>
      </c>
      <c r="E417" s="91"/>
      <c r="F417" s="91"/>
    </row>
    <row r="418" spans="2:6" ht="15.75">
      <c r="B418" s="89"/>
      <c r="C418" s="103"/>
      <c r="D418" s="101"/>
      <c r="E418" s="91"/>
      <c r="F418" s="91"/>
    </row>
    <row r="419" spans="2:6" ht="15.75">
      <c r="B419" s="89"/>
      <c r="C419" s="105" t="s">
        <v>460</v>
      </c>
      <c r="D419" s="101"/>
      <c r="E419" s="91"/>
      <c r="F419" s="91"/>
    </row>
    <row r="420" spans="2:6" ht="15.75">
      <c r="B420" s="89"/>
      <c r="C420" s="103" t="s">
        <v>461</v>
      </c>
      <c r="D420" s="101">
        <v>227501</v>
      </c>
      <c r="E420" s="91"/>
      <c r="F420" s="91"/>
    </row>
    <row r="421" spans="2:6" ht="15.75">
      <c r="B421" s="89"/>
      <c r="C421" s="103" t="s">
        <v>462</v>
      </c>
      <c r="D421" s="101">
        <v>227502</v>
      </c>
      <c r="E421" s="91"/>
      <c r="F421" s="91"/>
    </row>
    <row r="422" spans="2:6" ht="15.75">
      <c r="B422" s="89"/>
      <c r="C422" s="103" t="s">
        <v>463</v>
      </c>
      <c r="D422" s="101">
        <v>227503</v>
      </c>
      <c r="E422" s="91"/>
      <c r="F422" s="91"/>
    </row>
    <row r="423" spans="2:6" ht="15.75">
      <c r="B423" s="89"/>
      <c r="C423" s="103" t="s">
        <v>464</v>
      </c>
      <c r="D423" s="101">
        <v>227504</v>
      </c>
      <c r="E423" s="91"/>
      <c r="F423" s="91"/>
    </row>
    <row r="424" spans="2:6" ht="15.75">
      <c r="B424" s="89"/>
      <c r="C424" s="103" t="s">
        <v>465</v>
      </c>
      <c r="D424" s="101">
        <v>227505</v>
      </c>
      <c r="E424" s="91"/>
      <c r="F424" s="91"/>
    </row>
    <row r="425" spans="2:6" ht="15.75">
      <c r="B425" s="89"/>
      <c r="C425" s="103" t="s">
        <v>466</v>
      </c>
      <c r="D425" s="101">
        <v>227506</v>
      </c>
      <c r="E425" s="91"/>
      <c r="F425" s="91"/>
    </row>
    <row r="426" spans="2:6" ht="15.75">
      <c r="B426" s="89"/>
      <c r="C426" s="103" t="s">
        <v>467</v>
      </c>
      <c r="D426" s="101">
        <v>227507</v>
      </c>
      <c r="E426" s="91"/>
      <c r="F426" s="91"/>
    </row>
    <row r="427" spans="2:6" ht="15.75">
      <c r="B427" s="89"/>
      <c r="C427" s="103" t="s">
        <v>468</v>
      </c>
      <c r="D427" s="101">
        <v>227508</v>
      </c>
      <c r="E427" s="91"/>
      <c r="F427" s="91"/>
    </row>
    <row r="428" spans="2:6" ht="15.75">
      <c r="B428" s="89"/>
      <c r="C428" s="103" t="s">
        <v>469</v>
      </c>
      <c r="D428" s="101">
        <v>227509</v>
      </c>
      <c r="E428" s="91"/>
      <c r="F428" s="91"/>
    </row>
    <row r="429" spans="2:6" ht="15.75">
      <c r="B429" s="89"/>
      <c r="C429" s="103" t="s">
        <v>470</v>
      </c>
      <c r="D429" s="101">
        <v>227510</v>
      </c>
      <c r="E429" s="91"/>
      <c r="F429" s="91"/>
    </row>
    <row r="430" spans="2:6" ht="15.75">
      <c r="B430" s="89"/>
      <c r="C430" s="103"/>
      <c r="D430" s="101"/>
      <c r="E430" s="91"/>
      <c r="F430" s="91"/>
    </row>
    <row r="431" spans="2:6" ht="15.75">
      <c r="B431" s="89"/>
      <c r="C431" s="104" t="s">
        <v>471</v>
      </c>
      <c r="D431" s="101"/>
      <c r="E431" s="91"/>
      <c r="F431" s="91"/>
    </row>
    <row r="432" spans="2:6" ht="15.75">
      <c r="B432" s="89"/>
      <c r="C432" s="103" t="s">
        <v>472</v>
      </c>
      <c r="D432" s="101">
        <v>229901</v>
      </c>
      <c r="E432" s="91"/>
      <c r="F432" s="91"/>
    </row>
    <row r="433" spans="2:6" ht="15.75">
      <c r="B433" s="89"/>
      <c r="C433" s="103" t="s">
        <v>473</v>
      </c>
      <c r="D433" s="101">
        <v>229902</v>
      </c>
      <c r="E433" s="91"/>
      <c r="F433" s="91"/>
    </row>
    <row r="434" spans="2:6" ht="15.75">
      <c r="B434" s="89"/>
      <c r="C434" s="103" t="s">
        <v>474</v>
      </c>
      <c r="D434" s="101">
        <v>229903</v>
      </c>
      <c r="E434" s="91"/>
      <c r="F434" s="91"/>
    </row>
    <row r="435" spans="2:6" ht="15.75">
      <c r="B435" s="89"/>
      <c r="C435" s="103" t="s">
        <v>475</v>
      </c>
      <c r="D435" s="101">
        <v>229904</v>
      </c>
      <c r="E435" s="91"/>
      <c r="F435" s="91"/>
    </row>
    <row r="436" spans="2:6" ht="15.75">
      <c r="B436" s="89"/>
      <c r="C436" s="103" t="s">
        <v>476</v>
      </c>
      <c r="D436" s="101">
        <v>229905</v>
      </c>
      <c r="E436" s="91"/>
      <c r="F436" s="91"/>
    </row>
    <row r="437" spans="2:6" ht="15.75">
      <c r="B437" s="89"/>
      <c r="C437" s="103" t="s">
        <v>477</v>
      </c>
      <c r="D437" s="101">
        <v>229906</v>
      </c>
      <c r="E437" s="91"/>
      <c r="F437" s="91"/>
    </row>
    <row r="438" spans="2:6" ht="15.75">
      <c r="B438" s="89"/>
      <c r="C438" s="103" t="s">
        <v>478</v>
      </c>
      <c r="D438" s="101">
        <v>229907</v>
      </c>
      <c r="E438" s="91"/>
      <c r="F438" s="91"/>
    </row>
    <row r="439" spans="2:6" ht="15.75">
      <c r="B439" s="89"/>
      <c r="C439" s="103" t="s">
        <v>479</v>
      </c>
      <c r="D439" s="101">
        <v>229908</v>
      </c>
      <c r="E439" s="91"/>
      <c r="F439" s="91"/>
    </row>
    <row r="440" spans="2:6" ht="15.75">
      <c r="B440" s="89"/>
      <c r="C440" s="103" t="s">
        <v>480</v>
      </c>
      <c r="D440" s="101">
        <v>229909</v>
      </c>
      <c r="E440" s="91"/>
      <c r="F440" s="91"/>
    </row>
    <row r="441" spans="2:6" ht="15.75">
      <c r="B441" s="89"/>
      <c r="C441" s="103" t="s">
        <v>481</v>
      </c>
      <c r="D441" s="101">
        <v>229910</v>
      </c>
      <c r="E441" s="91"/>
      <c r="F441" s="91"/>
    </row>
    <row r="442" spans="2:6" ht="15.75">
      <c r="B442" s="89"/>
      <c r="C442" s="103" t="s">
        <v>482</v>
      </c>
      <c r="D442" s="101">
        <v>229911</v>
      </c>
      <c r="E442" s="91"/>
      <c r="F442" s="91"/>
    </row>
    <row r="443" spans="2:6" ht="15.75">
      <c r="B443" s="89"/>
      <c r="C443" s="103" t="s">
        <v>483</v>
      </c>
      <c r="D443" s="101">
        <v>229912</v>
      </c>
      <c r="E443" s="91"/>
      <c r="F443" s="91"/>
    </row>
    <row r="444" spans="2:6" ht="15.75">
      <c r="B444" s="89"/>
      <c r="C444" s="103" t="s">
        <v>484</v>
      </c>
      <c r="D444" s="101">
        <v>229913</v>
      </c>
      <c r="E444" s="91"/>
      <c r="F444" s="91"/>
    </row>
    <row r="445" spans="2:6" ht="15.75">
      <c r="B445" s="89"/>
      <c r="C445" s="103" t="s">
        <v>485</v>
      </c>
      <c r="D445" s="101">
        <v>229914</v>
      </c>
      <c r="E445" s="91"/>
      <c r="F445" s="91"/>
    </row>
    <row r="446" spans="2:6" ht="15.75">
      <c r="B446" s="89"/>
      <c r="C446" s="103" t="s">
        <v>486</v>
      </c>
      <c r="D446" s="101">
        <v>229915</v>
      </c>
      <c r="E446" s="91"/>
      <c r="F446" s="91"/>
    </row>
    <row r="447" spans="2:6" ht="15.75">
      <c r="B447" s="89"/>
      <c r="C447" s="103" t="s">
        <v>487</v>
      </c>
      <c r="D447" s="101">
        <v>229916</v>
      </c>
      <c r="E447" s="91"/>
      <c r="F447" s="91"/>
    </row>
    <row r="448" spans="2:6" ht="15.75">
      <c r="B448" s="89"/>
      <c r="C448" s="103" t="s">
        <v>488</v>
      </c>
      <c r="D448" s="101">
        <v>229917</v>
      </c>
      <c r="E448" s="91"/>
      <c r="F448" s="91"/>
    </row>
    <row r="449" spans="2:6" ht="15.75">
      <c r="B449" s="89"/>
      <c r="C449" s="103" t="s">
        <v>489</v>
      </c>
      <c r="D449" s="101">
        <v>229918</v>
      </c>
      <c r="E449" s="91"/>
      <c r="F449" s="91"/>
    </row>
    <row r="450" spans="2:6" ht="15.75">
      <c r="B450" s="89"/>
      <c r="C450" s="103" t="s">
        <v>490</v>
      </c>
      <c r="D450" s="101">
        <v>229919</v>
      </c>
      <c r="E450" s="91"/>
      <c r="F450" s="91"/>
    </row>
    <row r="451" spans="2:6" ht="15.75">
      <c r="B451" s="89"/>
      <c r="C451" s="103" t="s">
        <v>491</v>
      </c>
      <c r="D451" s="101">
        <v>229920</v>
      </c>
      <c r="E451" s="91"/>
      <c r="F451" s="91"/>
    </row>
    <row r="452" spans="2:6" ht="15.75">
      <c r="B452" s="89"/>
      <c r="C452" s="103" t="s">
        <v>492</v>
      </c>
      <c r="D452" s="101">
        <v>229921</v>
      </c>
      <c r="E452" s="91"/>
      <c r="F452" s="91"/>
    </row>
    <row r="453" spans="2:6" ht="15.75">
      <c r="B453" s="89"/>
      <c r="C453" s="103" t="s">
        <v>493</v>
      </c>
      <c r="D453" s="101">
        <v>229922</v>
      </c>
      <c r="E453" s="91"/>
      <c r="F453" s="91"/>
    </row>
    <row r="454" spans="2:6" ht="15.75">
      <c r="B454" s="89"/>
      <c r="C454" s="103" t="s">
        <v>494</v>
      </c>
      <c r="D454" s="101">
        <v>229923</v>
      </c>
      <c r="E454" s="91"/>
      <c r="F454" s="91"/>
    </row>
    <row r="455" spans="2:6" ht="15.75">
      <c r="B455" s="89"/>
      <c r="C455" s="103" t="s">
        <v>495</v>
      </c>
      <c r="D455" s="101">
        <v>229924</v>
      </c>
      <c r="E455" s="91"/>
      <c r="F455" s="91"/>
    </row>
    <row r="456" spans="2:6" ht="15.75">
      <c r="B456" s="89"/>
      <c r="C456" s="103" t="s">
        <v>496</v>
      </c>
      <c r="D456" s="101">
        <v>229925</v>
      </c>
      <c r="E456" s="91"/>
      <c r="F456" s="91"/>
    </row>
    <row r="457" spans="2:6" ht="15.75">
      <c r="B457" s="89"/>
      <c r="C457" s="103" t="s">
        <v>497</v>
      </c>
      <c r="D457" s="101">
        <v>229926</v>
      </c>
      <c r="E457" s="91"/>
      <c r="F457" s="91"/>
    </row>
    <row r="458" spans="2:6" ht="15.75">
      <c r="B458" s="89"/>
      <c r="C458" s="103" t="s">
        <v>498</v>
      </c>
      <c r="D458" s="101">
        <v>229927</v>
      </c>
      <c r="E458" s="91"/>
      <c r="F458" s="91"/>
    </row>
    <row r="459" spans="2:6" ht="15.75">
      <c r="B459" s="89"/>
      <c r="C459" s="103" t="s">
        <v>499</v>
      </c>
      <c r="D459" s="101">
        <v>229928</v>
      </c>
      <c r="E459" s="91"/>
      <c r="F459" s="91"/>
    </row>
    <row r="460" spans="2:6" ht="15.75">
      <c r="B460" s="89"/>
      <c r="C460" s="103" t="s">
        <v>500</v>
      </c>
      <c r="D460" s="101">
        <v>229929</v>
      </c>
      <c r="E460" s="91"/>
      <c r="F460" s="91"/>
    </row>
    <row r="461" spans="2:6" ht="15.75">
      <c r="B461" s="89"/>
      <c r="C461" s="103" t="s">
        <v>501</v>
      </c>
      <c r="D461" s="101">
        <v>229930</v>
      </c>
      <c r="E461" s="91"/>
      <c r="F461" s="91"/>
    </row>
    <row r="462" spans="2:6" ht="15.75">
      <c r="B462" s="89"/>
      <c r="C462" s="103" t="s">
        <v>502</v>
      </c>
      <c r="D462" s="101">
        <v>229931</v>
      </c>
      <c r="E462" s="91"/>
      <c r="F462" s="91"/>
    </row>
    <row r="463" spans="2:6" ht="15.75">
      <c r="B463" s="89"/>
      <c r="C463" s="103" t="s">
        <v>503</v>
      </c>
      <c r="D463" s="101">
        <v>229932</v>
      </c>
      <c r="E463" s="91"/>
      <c r="F463" s="91"/>
    </row>
    <row r="464" spans="2:6" ht="15.75">
      <c r="B464" s="89"/>
      <c r="C464" s="103" t="s">
        <v>504</v>
      </c>
      <c r="D464" s="101">
        <v>229933</v>
      </c>
      <c r="E464" s="91"/>
      <c r="F464" s="91"/>
    </row>
    <row r="465" spans="2:6" ht="15.75">
      <c r="B465" s="89"/>
      <c r="C465" s="103" t="s">
        <v>505</v>
      </c>
      <c r="D465" s="101">
        <v>229934</v>
      </c>
      <c r="E465" s="91"/>
      <c r="F465" s="91"/>
    </row>
    <row r="466" spans="2:6" ht="15.75">
      <c r="B466" s="89"/>
      <c r="C466" s="103" t="s">
        <v>506</v>
      </c>
      <c r="D466" s="101">
        <v>229935</v>
      </c>
      <c r="E466" s="91"/>
      <c r="F466" s="91"/>
    </row>
    <row r="467" spans="2:6" ht="15.75">
      <c r="B467" s="89"/>
      <c r="C467" s="103" t="s">
        <v>507</v>
      </c>
      <c r="D467" s="101">
        <v>229936</v>
      </c>
      <c r="E467" s="91"/>
      <c r="F467" s="91"/>
    </row>
    <row r="468" spans="2:6" ht="15.75">
      <c r="B468" s="89"/>
      <c r="C468" s="103" t="s">
        <v>508</v>
      </c>
      <c r="D468" s="101">
        <v>229937</v>
      </c>
      <c r="E468" s="91"/>
      <c r="F468" s="91"/>
    </row>
    <row r="469" spans="2:6" ht="15.75">
      <c r="B469" s="89"/>
      <c r="C469" s="103" t="s">
        <v>509</v>
      </c>
      <c r="D469" s="101">
        <v>229938</v>
      </c>
      <c r="E469" s="91"/>
      <c r="F469" s="91"/>
    </row>
    <row r="470" spans="2:6" ht="15.75">
      <c r="B470" s="89"/>
      <c r="C470" s="103" t="s">
        <v>510</v>
      </c>
      <c r="D470" s="101">
        <v>229939</v>
      </c>
      <c r="E470" s="91"/>
      <c r="F470" s="91"/>
    </row>
    <row r="471" spans="2:6" ht="15.75">
      <c r="B471" s="89"/>
      <c r="C471" s="103"/>
      <c r="D471" s="101"/>
      <c r="E471" s="91"/>
      <c r="F471" s="91"/>
    </row>
    <row r="472" spans="2:6" ht="15.75">
      <c r="B472" s="87">
        <v>19</v>
      </c>
      <c r="C472" s="122" t="s">
        <v>511</v>
      </c>
      <c r="D472" s="101"/>
      <c r="E472" s="91"/>
      <c r="F472" s="91"/>
    </row>
    <row r="473" spans="2:6" ht="15.75">
      <c r="B473" s="89"/>
      <c r="C473" s="122" t="s">
        <v>512</v>
      </c>
      <c r="D473" s="101"/>
      <c r="E473" s="91"/>
      <c r="F473" s="91"/>
    </row>
    <row r="474" spans="2:6" ht="15.75">
      <c r="B474" s="89"/>
      <c r="C474" s="103" t="s">
        <v>513</v>
      </c>
      <c r="D474" s="101">
        <v>230101</v>
      </c>
      <c r="E474" s="91"/>
      <c r="F474" s="91"/>
    </row>
    <row r="475" spans="2:6" ht="15.75">
      <c r="B475" s="89"/>
      <c r="C475" s="103" t="s">
        <v>514</v>
      </c>
      <c r="D475" s="101">
        <v>230102</v>
      </c>
      <c r="E475" s="91"/>
      <c r="F475" s="91"/>
    </row>
    <row r="476" spans="2:6" ht="15.75">
      <c r="B476" s="89"/>
      <c r="C476" s="103" t="s">
        <v>515</v>
      </c>
      <c r="D476" s="101">
        <v>230103</v>
      </c>
      <c r="E476" s="91"/>
      <c r="F476" s="91"/>
    </row>
    <row r="477" spans="2:6" ht="15.75">
      <c r="B477" s="89"/>
      <c r="C477" s="103" t="s">
        <v>516</v>
      </c>
      <c r="D477" s="101">
        <v>230104</v>
      </c>
      <c r="E477" s="91"/>
      <c r="F477" s="91"/>
    </row>
    <row r="478" spans="2:6" ht="15.75">
      <c r="B478" s="89"/>
      <c r="C478" s="103" t="s">
        <v>517</v>
      </c>
      <c r="D478" s="101">
        <v>230105</v>
      </c>
      <c r="E478" s="91"/>
      <c r="F478" s="91"/>
    </row>
    <row r="479" spans="2:6" ht="15.75">
      <c r="B479" s="89"/>
      <c r="C479" s="103" t="s">
        <v>518</v>
      </c>
      <c r="D479" s="101">
        <v>230106</v>
      </c>
      <c r="E479" s="91"/>
      <c r="F479" s="91"/>
    </row>
    <row r="480" spans="2:6" ht="15.75">
      <c r="B480" s="89"/>
      <c r="C480" s="103" t="s">
        <v>519</v>
      </c>
      <c r="D480" s="101">
        <v>230107</v>
      </c>
      <c r="E480" s="91"/>
      <c r="F480" s="91"/>
    </row>
    <row r="481" spans="2:6" ht="15.75">
      <c r="B481" s="89"/>
      <c r="C481" s="125"/>
      <c r="D481" s="101"/>
      <c r="E481" s="91"/>
      <c r="F481" s="91"/>
    </row>
    <row r="482" spans="2:6" ht="15.75">
      <c r="B482" s="89"/>
      <c r="C482" s="122" t="s">
        <v>520</v>
      </c>
      <c r="D482" s="101"/>
      <c r="E482" s="91"/>
      <c r="F482" s="91"/>
    </row>
    <row r="483" spans="2:6" ht="15.75">
      <c r="B483" s="89"/>
      <c r="C483" s="103" t="s">
        <v>521</v>
      </c>
      <c r="D483" s="101">
        <v>230201</v>
      </c>
      <c r="E483" s="91"/>
      <c r="F483" s="91"/>
    </row>
    <row r="484" spans="2:6" ht="15.75">
      <c r="B484" s="89"/>
      <c r="C484" s="103" t="s">
        <v>522</v>
      </c>
      <c r="D484" s="101">
        <v>230202</v>
      </c>
      <c r="E484" s="91"/>
      <c r="F484" s="91"/>
    </row>
    <row r="485" spans="2:6" ht="15.75">
      <c r="B485" s="89"/>
      <c r="C485" s="103" t="s">
        <v>523</v>
      </c>
      <c r="D485" s="101">
        <v>230203</v>
      </c>
      <c r="E485" s="91"/>
      <c r="F485" s="91"/>
    </row>
    <row r="486" spans="2:6" ht="15.75">
      <c r="B486" s="89"/>
      <c r="C486" s="103" t="s">
        <v>524</v>
      </c>
      <c r="D486" s="101">
        <v>230204</v>
      </c>
      <c r="E486" s="91"/>
      <c r="F486" s="91"/>
    </row>
    <row r="487" spans="2:6" ht="15.75">
      <c r="B487" s="89"/>
      <c r="C487" s="103" t="s">
        <v>525</v>
      </c>
      <c r="D487" s="101">
        <v>230205</v>
      </c>
      <c r="E487" s="91"/>
      <c r="F487" s="91"/>
    </row>
    <row r="488" spans="2:6" ht="15.75">
      <c r="B488" s="89"/>
      <c r="C488" s="103" t="s">
        <v>526</v>
      </c>
      <c r="D488" s="101">
        <v>230206</v>
      </c>
      <c r="E488" s="91"/>
      <c r="F488" s="91"/>
    </row>
    <row r="489" spans="2:6" ht="15.75">
      <c r="B489" s="89"/>
      <c r="C489" s="103" t="s">
        <v>527</v>
      </c>
      <c r="D489" s="101">
        <v>230207</v>
      </c>
      <c r="E489" s="91"/>
      <c r="F489" s="91"/>
    </row>
    <row r="490" spans="2:6" ht="15.75">
      <c r="B490" s="89"/>
      <c r="C490" s="103" t="s">
        <v>528</v>
      </c>
      <c r="D490" s="101">
        <v>230208</v>
      </c>
      <c r="E490" s="91"/>
      <c r="F490" s="91"/>
    </row>
    <row r="491" spans="2:6" ht="15.75">
      <c r="B491" s="89"/>
      <c r="C491" s="103" t="s">
        <v>529</v>
      </c>
      <c r="D491" s="101">
        <v>230209</v>
      </c>
      <c r="E491" s="91"/>
      <c r="F491" s="91"/>
    </row>
    <row r="492" spans="2:6" ht="15.75">
      <c r="B492" s="89"/>
      <c r="C492" s="103" t="s">
        <v>530</v>
      </c>
      <c r="D492" s="101">
        <v>230210</v>
      </c>
      <c r="E492" s="91"/>
      <c r="F492" s="91"/>
    </row>
    <row r="493" spans="2:6" ht="15.75">
      <c r="B493" s="89"/>
      <c r="C493" s="103"/>
      <c r="D493" s="101"/>
      <c r="E493" s="91"/>
      <c r="F493" s="91"/>
    </row>
    <row r="494" spans="2:6" ht="15.75">
      <c r="B494" s="89"/>
      <c r="C494" s="105" t="s">
        <v>531</v>
      </c>
      <c r="D494" s="101"/>
      <c r="E494" s="91"/>
      <c r="F494" s="91"/>
    </row>
    <row r="495" spans="2:6" ht="15.75">
      <c r="B495" s="89"/>
      <c r="C495" s="103" t="s">
        <v>532</v>
      </c>
      <c r="D495" s="101">
        <v>230301</v>
      </c>
      <c r="E495" s="91"/>
      <c r="F495" s="91"/>
    </row>
    <row r="496" spans="2:6" ht="15.75">
      <c r="B496" s="89"/>
      <c r="C496" s="103" t="s">
        <v>533</v>
      </c>
      <c r="D496" s="101">
        <v>230302</v>
      </c>
      <c r="E496" s="91"/>
      <c r="F496" s="91"/>
    </row>
    <row r="497" spans="2:6" ht="15.75">
      <c r="B497" s="89"/>
      <c r="C497" s="103" t="s">
        <v>523</v>
      </c>
      <c r="D497" s="101">
        <v>230303</v>
      </c>
      <c r="E497" s="91"/>
      <c r="F497" s="91"/>
    </row>
    <row r="498" spans="2:6" ht="15.75">
      <c r="B498" s="89"/>
      <c r="C498" s="103" t="s">
        <v>534</v>
      </c>
      <c r="D498" s="101">
        <v>230304</v>
      </c>
      <c r="E498" s="91"/>
      <c r="F498" s="91"/>
    </row>
    <row r="499" spans="2:6" ht="15.75">
      <c r="B499" s="89"/>
      <c r="C499" s="103" t="s">
        <v>525</v>
      </c>
      <c r="D499" s="101">
        <v>230305</v>
      </c>
      <c r="E499" s="91"/>
      <c r="F499" s="91"/>
    </row>
    <row r="500" spans="2:6" ht="15.75">
      <c r="B500" s="89"/>
      <c r="C500" s="103" t="s">
        <v>527</v>
      </c>
      <c r="D500" s="101">
        <v>230306</v>
      </c>
      <c r="E500" s="91"/>
      <c r="F500" s="91"/>
    </row>
    <row r="501" spans="2:6" ht="15.75">
      <c r="B501" s="89"/>
      <c r="C501" s="103" t="s">
        <v>528</v>
      </c>
      <c r="D501" s="101">
        <v>230307</v>
      </c>
      <c r="E501" s="91"/>
      <c r="F501" s="91"/>
    </row>
    <row r="502" spans="2:6" ht="15.75">
      <c r="B502" s="89"/>
      <c r="C502" s="103" t="s">
        <v>529</v>
      </c>
      <c r="D502" s="101">
        <v>230308</v>
      </c>
      <c r="E502" s="91"/>
      <c r="F502" s="91"/>
    </row>
    <row r="503" spans="2:6" ht="15.75">
      <c r="B503" s="89"/>
      <c r="C503" s="103" t="s">
        <v>535</v>
      </c>
      <c r="D503" s="101">
        <v>230309</v>
      </c>
      <c r="E503" s="91"/>
      <c r="F503" s="91"/>
    </row>
    <row r="504" spans="2:6" ht="15.75">
      <c r="B504" s="89"/>
      <c r="C504" s="103" t="s">
        <v>536</v>
      </c>
      <c r="D504" s="101">
        <v>230310</v>
      </c>
      <c r="E504" s="91"/>
      <c r="F504" s="91"/>
    </row>
    <row r="505" spans="2:6" ht="15.75">
      <c r="B505" s="89"/>
      <c r="C505" s="103" t="s">
        <v>530</v>
      </c>
      <c r="D505" s="101">
        <v>230311</v>
      </c>
      <c r="E505" s="91"/>
      <c r="F505" s="91"/>
    </row>
    <row r="506" spans="2:6" ht="15.75">
      <c r="B506" s="89"/>
      <c r="C506" s="103"/>
      <c r="D506" s="101"/>
      <c r="E506" s="91"/>
      <c r="F506" s="91"/>
    </row>
    <row r="507" spans="2:6" ht="15.75">
      <c r="B507" s="89"/>
      <c r="C507" s="122" t="s">
        <v>537</v>
      </c>
      <c r="D507" s="101"/>
      <c r="E507" s="91"/>
      <c r="F507" s="91"/>
    </row>
    <row r="508" spans="2:6" ht="15.75">
      <c r="B508" s="89"/>
      <c r="C508" s="103" t="s">
        <v>538</v>
      </c>
      <c r="D508" s="101">
        <v>230401</v>
      </c>
      <c r="E508" s="91"/>
      <c r="F508" s="91"/>
    </row>
    <row r="509" spans="2:6" ht="15.75">
      <c r="B509" s="89"/>
      <c r="C509" s="103" t="s">
        <v>539</v>
      </c>
      <c r="D509" s="101">
        <v>230402</v>
      </c>
      <c r="E509" s="91"/>
      <c r="F509" s="91"/>
    </row>
    <row r="510" spans="2:6" ht="15.75">
      <c r="B510" s="89"/>
      <c r="C510" s="103" t="s">
        <v>540</v>
      </c>
      <c r="D510" s="101">
        <v>230403</v>
      </c>
      <c r="E510" s="91"/>
      <c r="F510" s="91"/>
    </row>
    <row r="511" spans="2:6" ht="15.75">
      <c r="B511" s="89"/>
      <c r="C511" s="103" t="s">
        <v>541</v>
      </c>
      <c r="D511" s="101">
        <v>230404</v>
      </c>
      <c r="E511" s="91"/>
      <c r="F511" s="91"/>
    </row>
    <row r="512" spans="2:6" ht="15.75">
      <c r="B512" s="89"/>
      <c r="C512" s="103" t="s">
        <v>542</v>
      </c>
      <c r="D512" s="101">
        <v>230405</v>
      </c>
      <c r="E512" s="91"/>
      <c r="F512" s="91"/>
    </row>
    <row r="513" spans="2:6" ht="15.75">
      <c r="B513" s="89"/>
      <c r="C513" s="103" t="s">
        <v>543</v>
      </c>
      <c r="D513" s="101">
        <v>230406</v>
      </c>
      <c r="E513" s="91"/>
      <c r="F513" s="91"/>
    </row>
    <row r="514" spans="2:6" ht="15.75">
      <c r="B514" s="89"/>
      <c r="C514" s="103" t="s">
        <v>518</v>
      </c>
      <c r="D514" s="101">
        <v>230407</v>
      </c>
      <c r="E514" s="91"/>
      <c r="F514" s="91"/>
    </row>
    <row r="515" spans="2:6" ht="15.75">
      <c r="B515" s="89"/>
      <c r="C515" s="103" t="s">
        <v>519</v>
      </c>
      <c r="D515" s="101">
        <v>230408</v>
      </c>
      <c r="E515" s="91"/>
      <c r="F515" s="91"/>
    </row>
    <row r="516" spans="2:6" ht="15.75">
      <c r="B516" s="89"/>
      <c r="C516" s="103" t="s">
        <v>544</v>
      </c>
      <c r="D516" s="101">
        <v>230409</v>
      </c>
      <c r="E516" s="91"/>
      <c r="F516" s="91"/>
    </row>
    <row r="517" spans="2:6" ht="15.75">
      <c r="B517" s="89"/>
      <c r="C517" s="103"/>
      <c r="D517" s="101"/>
      <c r="E517" s="91"/>
      <c r="F517" s="91"/>
    </row>
    <row r="518" spans="2:6" ht="15.75">
      <c r="B518" s="89"/>
      <c r="C518" s="104" t="s">
        <v>545</v>
      </c>
      <c r="D518" s="101"/>
      <c r="E518" s="91"/>
      <c r="F518" s="91"/>
    </row>
    <row r="519" spans="2:6" ht="15.75">
      <c r="B519" s="89"/>
      <c r="C519" s="103" t="s">
        <v>546</v>
      </c>
      <c r="D519" s="101">
        <v>230501</v>
      </c>
      <c r="E519" s="91"/>
      <c r="F519" s="91"/>
    </row>
    <row r="520" spans="2:6" ht="15.75">
      <c r="B520" s="89"/>
      <c r="C520" s="103" t="s">
        <v>547</v>
      </c>
      <c r="D520" s="101">
        <v>230502</v>
      </c>
      <c r="E520" s="91"/>
      <c r="F520" s="91"/>
    </row>
    <row r="521" spans="2:6" ht="15.75">
      <c r="B521" s="89"/>
      <c r="C521" s="103" t="s">
        <v>548</v>
      </c>
      <c r="D521" s="101">
        <v>230503</v>
      </c>
      <c r="E521" s="91"/>
      <c r="F521" s="91"/>
    </row>
    <row r="522" spans="2:6" ht="15.75">
      <c r="B522" s="89"/>
      <c r="C522" s="103" t="s">
        <v>549</v>
      </c>
      <c r="D522" s="101">
        <v>230504</v>
      </c>
      <c r="E522" s="91"/>
      <c r="F522" s="91"/>
    </row>
    <row r="523" spans="2:6" ht="15.75">
      <c r="B523" s="89"/>
      <c r="C523" s="103" t="s">
        <v>550</v>
      </c>
      <c r="D523" s="101">
        <v>230505</v>
      </c>
      <c r="E523" s="91"/>
      <c r="F523" s="91"/>
    </row>
    <row r="524" spans="2:6" ht="15.75">
      <c r="B524" s="89"/>
      <c r="C524" s="103" t="s">
        <v>551</v>
      </c>
      <c r="D524" s="101">
        <v>230506</v>
      </c>
      <c r="E524" s="91"/>
      <c r="F524" s="91"/>
    </row>
    <row r="525" spans="2:6" ht="15.75">
      <c r="B525" s="89"/>
      <c r="C525" s="104" t="s">
        <v>552</v>
      </c>
      <c r="D525" s="101"/>
      <c r="E525" s="91"/>
      <c r="F525" s="91"/>
    </row>
    <row r="526" spans="2:6" ht="15.75">
      <c r="B526" s="89"/>
      <c r="C526" s="103" t="s">
        <v>553</v>
      </c>
      <c r="D526" s="101">
        <v>230601</v>
      </c>
      <c r="E526" s="91"/>
      <c r="F526" s="91"/>
    </row>
    <row r="527" spans="2:6" ht="15.75">
      <c r="B527" s="89"/>
      <c r="C527" s="103" t="s">
        <v>554</v>
      </c>
      <c r="D527" s="101">
        <v>230602</v>
      </c>
      <c r="E527" s="91"/>
      <c r="F527" s="91"/>
    </row>
    <row r="528" spans="2:6" ht="15.75">
      <c r="B528" s="89"/>
      <c r="C528" s="103" t="s">
        <v>555</v>
      </c>
      <c r="D528" s="101">
        <v>230603</v>
      </c>
      <c r="E528" s="91"/>
      <c r="F528" s="91"/>
    </row>
    <row r="529" spans="2:6" ht="15.75">
      <c r="B529" s="89"/>
      <c r="C529" s="103" t="s">
        <v>518</v>
      </c>
      <c r="D529" s="101">
        <v>230604</v>
      </c>
      <c r="E529" s="91"/>
      <c r="F529" s="91"/>
    </row>
    <row r="530" spans="2:6" ht="15.75">
      <c r="B530" s="89"/>
      <c r="C530" s="103" t="s">
        <v>519</v>
      </c>
      <c r="D530" s="101">
        <v>230605</v>
      </c>
      <c r="E530" s="91"/>
      <c r="F530" s="91"/>
    </row>
    <row r="531" spans="2:6" ht="15.75">
      <c r="B531" s="89"/>
      <c r="C531" s="103"/>
      <c r="D531" s="101"/>
      <c r="E531" s="91"/>
      <c r="F531" s="91"/>
    </row>
    <row r="532" spans="2:6" ht="15.75">
      <c r="B532" s="89"/>
      <c r="C532" s="104" t="s">
        <v>556</v>
      </c>
      <c r="D532" s="101"/>
      <c r="E532" s="91"/>
      <c r="F532" s="91"/>
    </row>
    <row r="533" spans="2:6" ht="15.75">
      <c r="B533" s="89"/>
      <c r="C533" s="103" t="s">
        <v>557</v>
      </c>
      <c r="D533" s="101">
        <v>230701</v>
      </c>
      <c r="E533" s="91"/>
      <c r="F533" s="91"/>
    </row>
    <row r="534" spans="2:6" ht="15.75">
      <c r="B534" s="89"/>
      <c r="C534" s="103" t="s">
        <v>558</v>
      </c>
      <c r="D534" s="101">
        <v>230702</v>
      </c>
      <c r="E534" s="91"/>
      <c r="F534" s="91"/>
    </row>
    <row r="535" spans="2:6" ht="15.75">
      <c r="B535" s="89"/>
      <c r="C535" s="103" t="s">
        <v>559</v>
      </c>
      <c r="D535" s="101">
        <v>230703</v>
      </c>
      <c r="E535" s="91"/>
      <c r="F535" s="91"/>
    </row>
    <row r="536" spans="2:6" ht="15.75">
      <c r="B536" s="89"/>
      <c r="C536" s="103" t="s">
        <v>560</v>
      </c>
      <c r="D536" s="101">
        <v>230704</v>
      </c>
      <c r="E536" s="91"/>
      <c r="F536" s="91"/>
    </row>
    <row r="537" spans="2:6" ht="15.75">
      <c r="B537" s="89"/>
      <c r="C537" s="103" t="s">
        <v>561</v>
      </c>
      <c r="D537" s="101">
        <v>230705</v>
      </c>
      <c r="E537" s="91"/>
      <c r="F537" s="91"/>
    </row>
    <row r="538" spans="2:6" ht="15.75">
      <c r="B538" s="89"/>
      <c r="C538" s="103" t="s">
        <v>519</v>
      </c>
      <c r="D538" s="101">
        <v>230706</v>
      </c>
      <c r="E538" s="91"/>
      <c r="F538" s="91"/>
    </row>
    <row r="539" spans="2:6" ht="15.75">
      <c r="B539" s="89"/>
      <c r="C539" s="103"/>
      <c r="D539" s="101"/>
      <c r="E539" s="91"/>
      <c r="F539" s="91"/>
    </row>
    <row r="540" spans="2:6" ht="15.75">
      <c r="B540" s="89"/>
      <c r="C540" s="104" t="s">
        <v>562</v>
      </c>
      <c r="D540" s="101"/>
      <c r="E540" s="91"/>
      <c r="F540" s="91"/>
    </row>
    <row r="541" spans="2:6" ht="15.75">
      <c r="B541" s="89"/>
      <c r="C541" s="103" t="s">
        <v>563</v>
      </c>
      <c r="D541" s="101">
        <v>230801</v>
      </c>
      <c r="E541" s="91"/>
      <c r="F541" s="91"/>
    </row>
    <row r="542" spans="2:6" ht="15.75">
      <c r="B542" s="89"/>
      <c r="C542" s="103" t="s">
        <v>564</v>
      </c>
      <c r="D542" s="101">
        <v>230802</v>
      </c>
      <c r="E542" s="91"/>
      <c r="F542" s="91"/>
    </row>
    <row r="543" spans="2:6" ht="15.75">
      <c r="B543" s="89"/>
      <c r="C543" s="103" t="s">
        <v>565</v>
      </c>
      <c r="D543" s="101">
        <v>230803</v>
      </c>
      <c r="E543" s="91"/>
      <c r="F543" s="91"/>
    </row>
    <row r="544" spans="2:6" ht="15.75">
      <c r="B544" s="89"/>
      <c r="C544" s="103" t="s">
        <v>544</v>
      </c>
      <c r="D544" s="101">
        <v>230804</v>
      </c>
      <c r="E544" s="91"/>
      <c r="F544" s="91"/>
    </row>
    <row r="545" spans="2:6" ht="15.75">
      <c r="B545" s="89"/>
      <c r="C545" s="103" t="s">
        <v>566</v>
      </c>
      <c r="D545" s="101">
        <v>230805</v>
      </c>
      <c r="E545" s="91"/>
      <c r="F545" s="91"/>
    </row>
    <row r="546" spans="2:6" ht="15.75">
      <c r="B546" s="89"/>
      <c r="C546" s="103"/>
      <c r="D546" s="101"/>
      <c r="E546" s="91"/>
      <c r="F546" s="91"/>
    </row>
    <row r="547" spans="2:6" ht="15.75">
      <c r="B547" s="89"/>
      <c r="C547" s="104" t="s">
        <v>567</v>
      </c>
      <c r="D547" s="101"/>
      <c r="E547" s="91"/>
      <c r="F547" s="91"/>
    </row>
    <row r="548" spans="2:6" ht="15.75">
      <c r="B548" s="89"/>
      <c r="C548" s="103" t="s">
        <v>563</v>
      </c>
      <c r="D548" s="101">
        <v>230901</v>
      </c>
      <c r="E548" s="91"/>
      <c r="F548" s="91"/>
    </row>
    <row r="549" spans="2:6" ht="15.75">
      <c r="B549" s="89"/>
      <c r="C549" s="103" t="s">
        <v>564</v>
      </c>
      <c r="D549" s="101">
        <v>230902</v>
      </c>
      <c r="E549" s="91"/>
      <c r="F549" s="91"/>
    </row>
    <row r="550" spans="2:6" ht="15.75">
      <c r="B550" s="89"/>
      <c r="C550" s="103" t="s">
        <v>565</v>
      </c>
      <c r="D550" s="101">
        <v>230903</v>
      </c>
      <c r="E550" s="91"/>
      <c r="F550" s="91"/>
    </row>
    <row r="551" spans="2:6" ht="15.75">
      <c r="B551" s="89"/>
      <c r="C551" s="103" t="s">
        <v>544</v>
      </c>
      <c r="D551" s="101">
        <v>230904</v>
      </c>
      <c r="E551" s="91"/>
      <c r="F551" s="91"/>
    </row>
    <row r="552" spans="2:6" ht="15.75">
      <c r="B552" s="89"/>
      <c r="C552" s="103" t="s">
        <v>566</v>
      </c>
      <c r="D552" s="101">
        <v>230905</v>
      </c>
      <c r="E552" s="91"/>
      <c r="F552" s="91"/>
    </row>
    <row r="553" spans="2:6" ht="15.75">
      <c r="B553" s="89"/>
      <c r="C553" s="103"/>
      <c r="D553" s="101"/>
      <c r="E553" s="91"/>
      <c r="F553" s="91"/>
    </row>
    <row r="554" spans="2:6" ht="15.75">
      <c r="B554" s="89"/>
      <c r="C554" s="105" t="s">
        <v>568</v>
      </c>
      <c r="D554" s="101"/>
      <c r="E554" s="91"/>
      <c r="F554" s="91"/>
    </row>
    <row r="555" spans="2:6" ht="15.75">
      <c r="B555" s="89"/>
      <c r="C555" s="103" t="s">
        <v>563</v>
      </c>
      <c r="D555" s="101">
        <v>231001</v>
      </c>
      <c r="E555" s="91"/>
      <c r="F555" s="91"/>
    </row>
    <row r="556" spans="2:6" ht="15.75">
      <c r="B556" s="89"/>
      <c r="C556" s="103" t="s">
        <v>564</v>
      </c>
      <c r="D556" s="101">
        <v>231002</v>
      </c>
      <c r="E556" s="91"/>
      <c r="F556" s="91"/>
    </row>
    <row r="557" spans="2:6" ht="15.75">
      <c r="B557" s="89"/>
      <c r="C557" s="103" t="s">
        <v>569</v>
      </c>
      <c r="D557" s="101">
        <v>231003</v>
      </c>
      <c r="E557" s="91"/>
      <c r="F557" s="91"/>
    </row>
    <row r="558" spans="2:6" ht="15.75">
      <c r="B558" s="89"/>
      <c r="C558" s="103" t="s">
        <v>565</v>
      </c>
      <c r="D558" s="101">
        <v>231004</v>
      </c>
      <c r="E558" s="91"/>
      <c r="F558" s="91"/>
    </row>
    <row r="559" spans="2:6" ht="15.75">
      <c r="B559" s="89"/>
      <c r="C559" s="103" t="s">
        <v>544</v>
      </c>
      <c r="D559" s="101">
        <v>231005</v>
      </c>
      <c r="E559" s="91"/>
      <c r="F559" s="91"/>
    </row>
    <row r="560" spans="2:6" ht="15.75">
      <c r="B560" s="89"/>
      <c r="C560" s="103" t="s">
        <v>566</v>
      </c>
      <c r="D560" s="101">
        <v>231006</v>
      </c>
      <c r="E560" s="91"/>
      <c r="F560" s="91"/>
    </row>
    <row r="561" spans="2:6" ht="15.75">
      <c r="B561" s="89"/>
      <c r="C561" s="103"/>
      <c r="D561" s="101"/>
      <c r="E561" s="91"/>
      <c r="F561" s="91"/>
    </row>
    <row r="562" spans="2:6" ht="15.75">
      <c r="B562" s="89"/>
      <c r="C562" s="105" t="s">
        <v>570</v>
      </c>
      <c r="D562" s="101"/>
      <c r="E562" s="91"/>
      <c r="F562" s="91"/>
    </row>
    <row r="563" spans="2:6" ht="15.75">
      <c r="B563" s="89"/>
      <c r="C563" s="103" t="s">
        <v>571</v>
      </c>
      <c r="D563" s="101">
        <v>231101</v>
      </c>
      <c r="E563" s="91"/>
      <c r="F563" s="91"/>
    </row>
    <row r="564" spans="2:6" ht="15.75">
      <c r="B564" s="89"/>
      <c r="C564" s="103" t="s">
        <v>572</v>
      </c>
      <c r="D564" s="101">
        <v>231102</v>
      </c>
      <c r="E564" s="91"/>
      <c r="F564" s="91"/>
    </row>
    <row r="565" spans="2:6" ht="15.75">
      <c r="B565" s="89"/>
      <c r="C565" s="103" t="s">
        <v>573</v>
      </c>
      <c r="D565" s="101">
        <v>231103</v>
      </c>
      <c r="E565" s="91"/>
      <c r="F565" s="91"/>
    </row>
    <row r="566" spans="2:6" ht="15.75">
      <c r="B566" s="89"/>
      <c r="C566" s="103" t="s">
        <v>574</v>
      </c>
      <c r="D566" s="101">
        <v>231104</v>
      </c>
      <c r="E566" s="91"/>
      <c r="F566" s="91"/>
    </row>
    <row r="567" spans="2:6" ht="15.75">
      <c r="B567" s="89"/>
      <c r="C567" s="103" t="s">
        <v>575</v>
      </c>
      <c r="D567" s="101">
        <v>231105</v>
      </c>
      <c r="E567" s="91"/>
      <c r="F567" s="91"/>
    </row>
    <row r="568" spans="2:6" ht="15.75">
      <c r="B568" s="89"/>
      <c r="C568" s="103" t="s">
        <v>576</v>
      </c>
      <c r="D568" s="101">
        <v>231106</v>
      </c>
      <c r="E568" s="91"/>
      <c r="F568" s="91"/>
    </row>
    <row r="569" spans="2:6" ht="15.75">
      <c r="B569" s="89"/>
      <c r="C569" s="103" t="s">
        <v>577</v>
      </c>
      <c r="D569" s="101">
        <v>231107</v>
      </c>
      <c r="E569" s="91"/>
      <c r="F569" s="91"/>
    </row>
    <row r="570" spans="2:6" ht="15.75">
      <c r="B570" s="89"/>
      <c r="C570" s="103" t="s">
        <v>578</v>
      </c>
      <c r="D570" s="101">
        <v>231108</v>
      </c>
      <c r="E570" s="91"/>
      <c r="F570" s="91"/>
    </row>
    <row r="571" spans="2:6" ht="15.75">
      <c r="B571" s="89"/>
      <c r="C571" s="103" t="s">
        <v>579</v>
      </c>
      <c r="D571" s="101">
        <v>231109</v>
      </c>
      <c r="E571" s="91"/>
      <c r="F571" s="91"/>
    </row>
    <row r="572" spans="2:6" ht="15.75">
      <c r="B572" s="89"/>
      <c r="C572" s="103"/>
      <c r="D572" s="101"/>
      <c r="E572" s="91"/>
      <c r="F572" s="91"/>
    </row>
    <row r="573" spans="2:6" ht="15.75">
      <c r="B573" s="89"/>
      <c r="C573" s="104" t="s">
        <v>580</v>
      </c>
      <c r="D573" s="101"/>
      <c r="E573" s="91"/>
      <c r="F573" s="91"/>
    </row>
    <row r="574" spans="2:6" ht="15.75">
      <c r="B574" s="89"/>
      <c r="C574" s="103" t="s">
        <v>581</v>
      </c>
      <c r="D574" s="101">
        <v>240401</v>
      </c>
      <c r="E574" s="91"/>
      <c r="F574" s="91"/>
    </row>
    <row r="575" spans="2:6" ht="15.75">
      <c r="B575" s="89"/>
      <c r="C575" s="103"/>
      <c r="D575" s="101"/>
      <c r="E575" s="91"/>
      <c r="F575" s="91"/>
    </row>
    <row r="576" spans="2:6" ht="15.75">
      <c r="B576" s="89"/>
      <c r="C576" s="104" t="s">
        <v>582</v>
      </c>
      <c r="D576" s="101"/>
      <c r="E576" s="91"/>
      <c r="F576" s="91"/>
    </row>
    <row r="577" spans="2:6" ht="15.75">
      <c r="B577" s="89"/>
      <c r="C577" s="103" t="s">
        <v>583</v>
      </c>
      <c r="D577" s="101">
        <v>250101</v>
      </c>
      <c r="E577" s="91"/>
      <c r="F577" s="91"/>
    </row>
    <row r="578" spans="2:6" ht="15.75">
      <c r="B578" s="89"/>
      <c r="C578" s="103" t="s">
        <v>584</v>
      </c>
      <c r="D578" s="101">
        <v>250102</v>
      </c>
      <c r="E578" s="91"/>
      <c r="F578" s="91"/>
    </row>
    <row r="579" spans="2:6" ht="15.75">
      <c r="B579" s="89"/>
      <c r="C579" s="103" t="s">
        <v>585</v>
      </c>
      <c r="D579" s="101">
        <v>250103</v>
      </c>
      <c r="E579" s="91"/>
      <c r="F579" s="91"/>
    </row>
    <row r="580" spans="2:6" ht="15.75">
      <c r="B580" s="89"/>
      <c r="C580" s="103" t="s">
        <v>586</v>
      </c>
      <c r="D580" s="101">
        <v>250104</v>
      </c>
      <c r="E580" s="91"/>
      <c r="F580" s="91"/>
    </row>
    <row r="581" spans="2:6" ht="15.75">
      <c r="B581" s="89"/>
      <c r="C581" s="103" t="s">
        <v>587</v>
      </c>
      <c r="D581" s="101">
        <v>250105</v>
      </c>
      <c r="E581" s="91"/>
      <c r="F581" s="91"/>
    </row>
    <row r="582" spans="2:6" ht="15.75">
      <c r="B582" s="89"/>
      <c r="C582" s="103"/>
      <c r="D582" s="101"/>
      <c r="E582" s="91"/>
      <c r="F582" s="91"/>
    </row>
    <row r="583" spans="2:6" ht="15.75">
      <c r="B583" s="89"/>
      <c r="C583" s="104" t="s">
        <v>588</v>
      </c>
      <c r="D583" s="101"/>
      <c r="E583" s="91"/>
      <c r="F583" s="91"/>
    </row>
    <row r="584" spans="2:6" ht="15.75">
      <c r="B584" s="89"/>
      <c r="C584" s="103" t="s">
        <v>589</v>
      </c>
      <c r="D584" s="101">
        <v>250201</v>
      </c>
      <c r="E584" s="91"/>
      <c r="F584" s="91"/>
    </row>
    <row r="585" spans="2:6" ht="15.75">
      <c r="B585" s="89"/>
      <c r="C585" s="103" t="s">
        <v>590</v>
      </c>
      <c r="D585" s="101">
        <v>250202</v>
      </c>
      <c r="E585" s="91"/>
      <c r="F585" s="91"/>
    </row>
    <row r="586" spans="2:6" ht="15.75">
      <c r="B586" s="89"/>
      <c r="C586" s="103"/>
      <c r="D586" s="101"/>
      <c r="E586" s="91"/>
      <c r="F586" s="91"/>
    </row>
    <row r="587" spans="2:6" ht="15.75">
      <c r="B587" s="89"/>
      <c r="C587" s="104" t="s">
        <v>591</v>
      </c>
      <c r="D587" s="101"/>
      <c r="E587" s="91"/>
      <c r="F587" s="91"/>
    </row>
    <row r="588" spans="2:6" ht="15.75">
      <c r="B588" s="89"/>
      <c r="C588" s="103" t="s">
        <v>592</v>
      </c>
      <c r="D588" s="101">
        <v>250301</v>
      </c>
      <c r="E588" s="91"/>
      <c r="F588" s="91"/>
    </row>
    <row r="589" spans="2:6" ht="15.75">
      <c r="B589" s="89"/>
      <c r="C589" s="103" t="s">
        <v>593</v>
      </c>
      <c r="D589" s="101">
        <v>250302</v>
      </c>
      <c r="E589" s="91"/>
      <c r="F589" s="91"/>
    </row>
    <row r="590" spans="2:6" ht="15.75">
      <c r="B590" s="89"/>
      <c r="C590" s="103"/>
      <c r="D590" s="101"/>
      <c r="E590" s="91"/>
      <c r="F590" s="91"/>
    </row>
    <row r="591" spans="2:6" ht="15.75">
      <c r="B591" s="87">
        <v>20</v>
      </c>
      <c r="C591" s="126" t="s">
        <v>594</v>
      </c>
      <c r="D591" s="101"/>
      <c r="E591" s="91"/>
      <c r="F591" s="91"/>
    </row>
    <row r="592" spans="2:6" ht="15.75">
      <c r="B592" s="87"/>
      <c r="C592" s="105" t="s">
        <v>595</v>
      </c>
      <c r="D592" s="101"/>
      <c r="E592" s="91"/>
      <c r="F592" s="91"/>
    </row>
    <row r="593" spans="2:6" ht="15.75">
      <c r="B593" s="89"/>
      <c r="C593" s="103" t="s">
        <v>596</v>
      </c>
      <c r="D593" s="101">
        <v>250401</v>
      </c>
      <c r="E593" s="91"/>
      <c r="F593" s="91"/>
    </row>
    <row r="594" spans="2:6" ht="15.75">
      <c r="B594" s="89"/>
      <c r="C594" s="103" t="s">
        <v>597</v>
      </c>
      <c r="D594" s="101">
        <v>250402</v>
      </c>
      <c r="E594" s="91"/>
      <c r="F594" s="91"/>
    </row>
    <row r="595" spans="2:6" ht="15.75">
      <c r="B595" s="89"/>
      <c r="C595" s="103" t="s">
        <v>598</v>
      </c>
      <c r="D595" s="101">
        <v>250403</v>
      </c>
      <c r="E595" s="91"/>
      <c r="F595" s="91"/>
    </row>
    <row r="596" spans="2:6" ht="15.75">
      <c r="B596" s="89"/>
      <c r="C596" s="103" t="s">
        <v>599</v>
      </c>
      <c r="D596" s="101">
        <v>250404</v>
      </c>
      <c r="E596" s="91"/>
      <c r="F596" s="91"/>
    </row>
    <row r="597" spans="2:6" ht="15.75">
      <c r="B597" s="89"/>
      <c r="C597" s="103" t="s">
        <v>600</v>
      </c>
      <c r="D597" s="101">
        <v>250405</v>
      </c>
      <c r="E597" s="91"/>
      <c r="F597" s="91"/>
    </row>
    <row r="598" spans="2:6" ht="15.75">
      <c r="B598" s="89"/>
      <c r="C598" s="103" t="s">
        <v>502</v>
      </c>
      <c r="D598" s="101">
        <v>250406</v>
      </c>
      <c r="E598" s="91"/>
      <c r="F598" s="91"/>
    </row>
    <row r="599" spans="2:6" ht="15.75">
      <c r="B599" s="89"/>
      <c r="C599" s="103" t="s">
        <v>601</v>
      </c>
      <c r="D599" s="101">
        <v>250407</v>
      </c>
      <c r="E599" s="91"/>
      <c r="F599" s="91"/>
    </row>
    <row r="600" spans="2:6" ht="15.75">
      <c r="B600" s="89"/>
      <c r="C600" s="103"/>
      <c r="D600" s="101"/>
      <c r="E600" s="91"/>
      <c r="F600" s="91"/>
    </row>
    <row r="601" spans="2:6" ht="15.75">
      <c r="B601" s="89"/>
      <c r="C601" s="105" t="s">
        <v>602</v>
      </c>
      <c r="D601" s="101"/>
      <c r="E601" s="91"/>
      <c r="F601" s="91"/>
    </row>
    <row r="602" spans="2:6" ht="15.75">
      <c r="B602" s="89"/>
      <c r="C602" s="103" t="s">
        <v>603</v>
      </c>
      <c r="D602" s="101">
        <v>250501</v>
      </c>
      <c r="E602" s="91"/>
      <c r="F602" s="91"/>
    </row>
    <row r="603" spans="2:6" ht="15.75">
      <c r="B603" s="89"/>
      <c r="C603" s="103" t="s">
        <v>604</v>
      </c>
      <c r="D603" s="101">
        <v>250502</v>
      </c>
      <c r="E603" s="91"/>
      <c r="F603" s="91"/>
    </row>
    <row r="604" spans="2:6" ht="15.75">
      <c r="B604" s="89"/>
      <c r="C604" s="103" t="s">
        <v>605</v>
      </c>
      <c r="D604" s="101">
        <v>250503</v>
      </c>
      <c r="E604" s="91"/>
      <c r="F604" s="91"/>
    </row>
    <row r="605" spans="2:6" ht="15.75">
      <c r="B605" s="89"/>
      <c r="C605" s="103" t="s">
        <v>606</v>
      </c>
      <c r="D605" s="101">
        <v>250504</v>
      </c>
      <c r="E605" s="91"/>
      <c r="F605" s="91"/>
    </row>
    <row r="606" spans="2:6" ht="15.75">
      <c r="B606" s="89"/>
      <c r="C606" s="103" t="s">
        <v>607</v>
      </c>
      <c r="D606" s="101">
        <v>250505</v>
      </c>
      <c r="E606" s="91"/>
      <c r="F606" s="91"/>
    </row>
    <row r="607" spans="2:6" ht="15.75">
      <c r="B607" s="89"/>
      <c r="C607" s="103" t="s">
        <v>608</v>
      </c>
      <c r="D607" s="101">
        <v>250506</v>
      </c>
      <c r="E607" s="91"/>
      <c r="F607" s="91"/>
    </row>
    <row r="608" spans="2:6" ht="15.75">
      <c r="B608" s="89"/>
      <c r="C608" s="105" t="s">
        <v>609</v>
      </c>
      <c r="D608" s="107"/>
      <c r="E608" s="91"/>
      <c r="F608" s="91"/>
    </row>
    <row r="609" spans="2:6" ht="15.75">
      <c r="B609" s="89"/>
      <c r="C609" s="103" t="s">
        <v>610</v>
      </c>
      <c r="D609" s="101" t="s">
        <v>611</v>
      </c>
      <c r="E609" s="91"/>
      <c r="F609" s="91"/>
    </row>
    <row r="610" spans="2:6" ht="15.75">
      <c r="B610" s="89"/>
      <c r="C610" s="103"/>
      <c r="D610" s="101"/>
      <c r="E610" s="91"/>
      <c r="F610" s="91"/>
    </row>
    <row r="611" spans="2:6" ht="15.75">
      <c r="B611" s="89"/>
      <c r="C611" s="104" t="s">
        <v>612</v>
      </c>
      <c r="D611" s="101"/>
      <c r="E611" s="91"/>
      <c r="F611" s="91"/>
    </row>
    <row r="612" spans="2:6" ht="15.75">
      <c r="B612" s="89"/>
      <c r="C612" s="103" t="s">
        <v>613</v>
      </c>
      <c r="D612" s="101">
        <v>260201</v>
      </c>
      <c r="E612" s="91"/>
      <c r="F612" s="91"/>
    </row>
    <row r="613" spans="2:6" ht="15.75">
      <c r="B613" s="89"/>
      <c r="C613" s="125"/>
      <c r="D613" s="101">
        <v>260301</v>
      </c>
      <c r="E613" s="91"/>
      <c r="F613" s="91"/>
    </row>
    <row r="614" spans="2:6" ht="15.75">
      <c r="B614" s="89"/>
      <c r="C614" s="103"/>
      <c r="D614" s="101">
        <v>260401</v>
      </c>
      <c r="E614" s="91"/>
      <c r="F614" s="91"/>
    </row>
    <row r="615" spans="2:6" ht="15.75">
      <c r="B615" s="87">
        <v>21</v>
      </c>
      <c r="C615" s="122" t="s">
        <v>614</v>
      </c>
      <c r="D615" s="101"/>
      <c r="E615" s="91"/>
      <c r="F615" s="91"/>
    </row>
    <row r="616" spans="2:6" ht="15.75">
      <c r="B616" s="87"/>
      <c r="C616" s="105" t="s">
        <v>615</v>
      </c>
      <c r="D616" s="101"/>
      <c r="E616" s="91"/>
      <c r="F616" s="91"/>
    </row>
    <row r="617" spans="2:6" ht="15.75">
      <c r="B617" s="89"/>
      <c r="C617" s="103" t="s">
        <v>616</v>
      </c>
      <c r="D617" s="101">
        <v>260501</v>
      </c>
      <c r="E617" s="91"/>
      <c r="F617" s="91"/>
    </row>
    <row r="618" spans="2:6" ht="15.75">
      <c r="B618" s="89"/>
      <c r="C618" s="103" t="s">
        <v>617</v>
      </c>
      <c r="D618" s="101">
        <v>260502</v>
      </c>
      <c r="E618" s="91"/>
      <c r="F618" s="91"/>
    </row>
    <row r="619" spans="2:6" ht="15.75">
      <c r="B619" s="89"/>
      <c r="C619" s="103" t="s">
        <v>618</v>
      </c>
      <c r="D619" s="101">
        <v>260503</v>
      </c>
      <c r="E619" s="91"/>
      <c r="F619" s="91"/>
    </row>
    <row r="620" spans="2:6" ht="15.75">
      <c r="B620" s="89"/>
      <c r="C620" s="103" t="s">
        <v>619</v>
      </c>
      <c r="D620" s="101">
        <v>260504</v>
      </c>
      <c r="E620" s="91"/>
      <c r="F620" s="91"/>
    </row>
    <row r="621" spans="2:6" ht="15.75">
      <c r="B621" s="89"/>
      <c r="C621" s="103" t="s">
        <v>620</v>
      </c>
      <c r="D621" s="101">
        <v>260505</v>
      </c>
      <c r="E621" s="91"/>
      <c r="F621" s="91"/>
    </row>
    <row r="622" spans="2:6" ht="15.75">
      <c r="B622" s="89"/>
      <c r="C622" s="103" t="s">
        <v>467</v>
      </c>
      <c r="D622" s="101">
        <v>260506</v>
      </c>
      <c r="E622" s="91"/>
      <c r="F622" s="91"/>
    </row>
    <row r="623" spans="2:6" ht="15.75">
      <c r="B623" s="89"/>
      <c r="C623" s="103" t="s">
        <v>621</v>
      </c>
      <c r="D623" s="101">
        <v>260507</v>
      </c>
      <c r="E623" s="91"/>
      <c r="F623" s="91"/>
    </row>
    <row r="624" spans="2:6" ht="15.75">
      <c r="B624" s="89"/>
      <c r="C624" s="103" t="s">
        <v>622</v>
      </c>
      <c r="D624" s="101">
        <v>260508</v>
      </c>
      <c r="E624" s="91"/>
      <c r="F624" s="91"/>
    </row>
    <row r="625" spans="2:6" ht="15.75">
      <c r="B625" s="89"/>
      <c r="C625" s="103"/>
      <c r="D625" s="101"/>
      <c r="E625" s="91"/>
      <c r="F625" s="91"/>
    </row>
    <row r="626" spans="2:6" ht="15.75">
      <c r="B626" s="89"/>
      <c r="C626" s="105" t="s">
        <v>623</v>
      </c>
      <c r="D626" s="101"/>
      <c r="E626" s="91"/>
      <c r="F626" s="91"/>
    </row>
    <row r="627" spans="2:6" ht="15.75">
      <c r="B627" s="89"/>
      <c r="C627" s="103" t="s">
        <v>624</v>
      </c>
      <c r="D627" s="101">
        <v>260601</v>
      </c>
      <c r="E627" s="91"/>
      <c r="F627" s="91"/>
    </row>
    <row r="628" spans="2:6" ht="15.75">
      <c r="B628" s="89"/>
      <c r="C628" s="103" t="s">
        <v>625</v>
      </c>
      <c r="D628" s="101">
        <v>260602</v>
      </c>
      <c r="E628" s="91"/>
      <c r="F628" s="91"/>
    </row>
    <row r="629" spans="2:6" ht="15.75">
      <c r="B629" s="89"/>
      <c r="C629" s="103" t="s">
        <v>626</v>
      </c>
      <c r="D629" s="101">
        <v>260603</v>
      </c>
      <c r="E629" s="91"/>
      <c r="F629" s="91"/>
    </row>
    <row r="630" spans="2:6" ht="15.75">
      <c r="B630" s="89"/>
      <c r="C630" s="103" t="s">
        <v>627</v>
      </c>
      <c r="D630" s="101">
        <v>260604</v>
      </c>
      <c r="E630" s="91"/>
      <c r="F630" s="91"/>
    </row>
    <row r="631" spans="2:6" ht="15.75">
      <c r="B631" s="89"/>
      <c r="C631" s="103" t="s">
        <v>628</v>
      </c>
      <c r="D631" s="101">
        <v>260605</v>
      </c>
      <c r="E631" s="91"/>
      <c r="F631" s="91"/>
    </row>
    <row r="632" spans="2:6" ht="15.75">
      <c r="B632" s="89"/>
      <c r="C632" s="103" t="s">
        <v>629</v>
      </c>
      <c r="D632" s="101">
        <v>260606</v>
      </c>
      <c r="E632" s="91"/>
      <c r="F632" s="91"/>
    </row>
    <row r="633" spans="2:6" ht="15.75">
      <c r="B633" s="89"/>
      <c r="C633" s="103" t="s">
        <v>630</v>
      </c>
      <c r="D633" s="101">
        <v>260607</v>
      </c>
      <c r="E633" s="91"/>
      <c r="F633" s="91"/>
    </row>
    <row r="634" spans="2:6" ht="15.75">
      <c r="B634" s="89"/>
      <c r="C634" s="103" t="s">
        <v>631</v>
      </c>
      <c r="D634" s="101">
        <v>260608</v>
      </c>
      <c r="E634" s="91"/>
      <c r="F634" s="91"/>
    </row>
    <row r="635" spans="2:6" ht="15.75">
      <c r="B635" s="89"/>
      <c r="C635" s="103" t="s">
        <v>632</v>
      </c>
      <c r="D635" s="101">
        <v>260609</v>
      </c>
      <c r="E635" s="91"/>
      <c r="F635" s="91"/>
    </row>
    <row r="636" spans="2:6" ht="15.75">
      <c r="B636" s="89"/>
      <c r="C636" s="103" t="s">
        <v>633</v>
      </c>
      <c r="D636" s="101">
        <v>260610</v>
      </c>
      <c r="E636" s="91"/>
      <c r="F636" s="91"/>
    </row>
    <row r="637" spans="2:6" ht="15.75">
      <c r="B637" s="89"/>
      <c r="C637" s="103"/>
      <c r="D637" s="101"/>
      <c r="E637" s="91"/>
      <c r="F637" s="91"/>
    </row>
    <row r="638" spans="2:6" ht="15.75">
      <c r="B638" s="89"/>
      <c r="C638" s="105" t="s">
        <v>634</v>
      </c>
      <c r="D638" s="101"/>
      <c r="E638" s="91"/>
      <c r="F638" s="91"/>
    </row>
    <row r="639" spans="2:6" ht="15.75">
      <c r="B639" s="89"/>
      <c r="C639" s="103"/>
      <c r="D639" s="101">
        <v>270101</v>
      </c>
      <c r="E639" s="91"/>
      <c r="F639" s="91"/>
    </row>
    <row r="640" spans="2:6" ht="15.75">
      <c r="B640" s="89"/>
      <c r="C640" s="103"/>
      <c r="D640" s="101">
        <v>270102</v>
      </c>
      <c r="E640" s="91"/>
      <c r="F640" s="91"/>
    </row>
    <row r="641" spans="2:6" ht="15.75">
      <c r="B641" s="89"/>
      <c r="C641" s="103"/>
      <c r="D641" s="101"/>
      <c r="E641" s="91"/>
      <c r="F641" s="91"/>
    </row>
    <row r="642" spans="2:6" ht="15.75">
      <c r="B642" s="89"/>
      <c r="C642" s="105" t="s">
        <v>635</v>
      </c>
      <c r="D642" s="101"/>
      <c r="E642" s="91"/>
      <c r="F642" s="91"/>
    </row>
    <row r="643" spans="2:6" ht="15.75">
      <c r="B643" s="89"/>
      <c r="C643" s="103" t="s">
        <v>636</v>
      </c>
      <c r="D643" s="101">
        <v>270201</v>
      </c>
      <c r="E643" s="91"/>
      <c r="F643" s="91"/>
    </row>
    <row r="644" spans="2:6" ht="15.75">
      <c r="B644" s="89"/>
      <c r="C644" s="103" t="s">
        <v>637</v>
      </c>
      <c r="D644" s="101">
        <v>270202</v>
      </c>
      <c r="E644" s="91"/>
      <c r="F644" s="91"/>
    </row>
    <row r="645" spans="2:6" ht="15.75">
      <c r="B645" s="89"/>
      <c r="C645" s="103" t="s">
        <v>638</v>
      </c>
      <c r="D645" s="101">
        <v>270203</v>
      </c>
      <c r="E645" s="91"/>
      <c r="F645" s="91"/>
    </row>
    <row r="646" spans="2:6" ht="15.75">
      <c r="B646" s="89"/>
      <c r="C646" s="103" t="s">
        <v>639</v>
      </c>
      <c r="D646" s="101">
        <v>270204</v>
      </c>
      <c r="E646" s="91"/>
      <c r="F646" s="91"/>
    </row>
    <row r="647" spans="2:6" ht="15.75">
      <c r="B647" s="89"/>
      <c r="C647" s="103" t="s">
        <v>640</v>
      </c>
      <c r="D647" s="101">
        <v>270205</v>
      </c>
      <c r="E647" s="91"/>
      <c r="F647" s="91"/>
    </row>
    <row r="648" spans="2:6" ht="15.75">
      <c r="B648" s="89"/>
      <c r="C648" s="103" t="s">
        <v>641</v>
      </c>
      <c r="D648" s="101">
        <v>270206</v>
      </c>
      <c r="E648" s="91"/>
      <c r="F648" s="91"/>
    </row>
    <row r="649" spans="2:6" ht="15.75">
      <c r="B649" s="89"/>
      <c r="C649" s="103" t="s">
        <v>642</v>
      </c>
      <c r="D649" s="101">
        <v>270207</v>
      </c>
      <c r="E649" s="91"/>
      <c r="F649" s="91"/>
    </row>
    <row r="650" spans="2:6" ht="15.75">
      <c r="B650" s="89"/>
      <c r="C650" s="103" t="s">
        <v>643</v>
      </c>
      <c r="D650" s="101">
        <v>270208</v>
      </c>
      <c r="E650" s="91"/>
      <c r="F650" s="91"/>
    </row>
    <row r="651" spans="2:6" ht="15.75">
      <c r="B651" s="89"/>
      <c r="C651" s="103" t="s">
        <v>644</v>
      </c>
      <c r="D651" s="101">
        <v>270209</v>
      </c>
      <c r="E651" s="91"/>
      <c r="F651" s="91"/>
    </row>
    <row r="652" spans="2:6" ht="15.75">
      <c r="B652" s="89"/>
      <c r="C652" s="103" t="s">
        <v>645</v>
      </c>
      <c r="D652" s="101">
        <v>270210</v>
      </c>
      <c r="E652" s="91"/>
      <c r="F652" s="91"/>
    </row>
    <row r="653" spans="2:6" ht="15.75">
      <c r="B653" s="89"/>
      <c r="C653" s="103" t="s">
        <v>646</v>
      </c>
      <c r="D653" s="101">
        <v>270211</v>
      </c>
      <c r="E653" s="91"/>
      <c r="F653" s="91"/>
    </row>
    <row r="654" spans="2:6" ht="15.75">
      <c r="B654" s="89"/>
      <c r="C654" s="103" t="s">
        <v>647</v>
      </c>
      <c r="D654" s="101">
        <v>270212</v>
      </c>
      <c r="E654" s="91"/>
      <c r="F654" s="91"/>
    </row>
    <row r="655" spans="2:6" ht="15.75">
      <c r="B655" s="89"/>
      <c r="C655" s="103" t="s">
        <v>648</v>
      </c>
      <c r="D655" s="101">
        <v>270213</v>
      </c>
      <c r="E655" s="91"/>
      <c r="F655" s="91"/>
    </row>
    <row r="656" spans="2:6" ht="15.75">
      <c r="B656" s="89"/>
      <c r="C656" s="103" t="s">
        <v>649</v>
      </c>
      <c r="D656" s="101">
        <v>270214</v>
      </c>
      <c r="E656" s="91"/>
      <c r="F656" s="91"/>
    </row>
    <row r="657" spans="2:6" ht="15.75">
      <c r="B657" s="89"/>
      <c r="C657" s="103" t="s">
        <v>650</v>
      </c>
      <c r="D657" s="101">
        <v>270215</v>
      </c>
      <c r="E657" s="91"/>
      <c r="F657" s="91"/>
    </row>
    <row r="658" spans="2:6" ht="15.75">
      <c r="B658" s="89"/>
      <c r="C658" s="103" t="s">
        <v>651</v>
      </c>
      <c r="D658" s="101">
        <v>270216</v>
      </c>
      <c r="E658" s="91"/>
      <c r="F658" s="91"/>
    </row>
    <row r="659" spans="2:6" ht="15.75">
      <c r="B659" s="89"/>
      <c r="C659" s="103" t="s">
        <v>652</v>
      </c>
      <c r="D659" s="101">
        <v>270217</v>
      </c>
      <c r="E659" s="91"/>
      <c r="F659" s="91"/>
    </row>
    <row r="660" spans="2:6" ht="15.75">
      <c r="B660" s="89"/>
      <c r="C660" s="103" t="s">
        <v>653</v>
      </c>
      <c r="D660" s="101">
        <v>270218</v>
      </c>
      <c r="E660" s="91"/>
      <c r="F660" s="91"/>
    </row>
    <row r="661" spans="2:6" ht="15.75">
      <c r="B661" s="89"/>
      <c r="C661" s="103" t="s">
        <v>654</v>
      </c>
      <c r="D661" s="101">
        <v>270219</v>
      </c>
      <c r="E661" s="91"/>
      <c r="F661" s="91"/>
    </row>
    <row r="662" spans="2:6" ht="15.75">
      <c r="B662" s="89"/>
      <c r="C662" s="103" t="s">
        <v>655</v>
      </c>
      <c r="D662" s="101">
        <v>270220</v>
      </c>
      <c r="E662" s="91"/>
      <c r="F662" s="91"/>
    </row>
    <row r="663" spans="2:6" ht="15.75">
      <c r="B663" s="89"/>
      <c r="C663" s="103" t="s">
        <v>656</v>
      </c>
      <c r="D663" s="101">
        <v>270221</v>
      </c>
      <c r="E663" s="91"/>
      <c r="F663" s="91"/>
    </row>
    <row r="664" spans="2:6" ht="15.75">
      <c r="B664" s="89"/>
      <c r="C664" s="103" t="s">
        <v>657</v>
      </c>
      <c r="D664" s="101">
        <v>270222</v>
      </c>
      <c r="E664" s="91"/>
      <c r="F664" s="91"/>
    </row>
    <row r="665" spans="2:6" ht="15.75">
      <c r="B665" s="89"/>
      <c r="C665" s="103" t="s">
        <v>658</v>
      </c>
      <c r="D665" s="101">
        <v>270223</v>
      </c>
      <c r="E665" s="91"/>
      <c r="F665" s="91"/>
    </row>
    <row r="666" spans="2:6" ht="15.75">
      <c r="B666" s="89"/>
      <c r="C666" s="103" t="s">
        <v>659</v>
      </c>
      <c r="D666" s="101">
        <v>270224</v>
      </c>
      <c r="E666" s="91"/>
      <c r="F666" s="91"/>
    </row>
    <row r="667" spans="2:6" ht="15.75">
      <c r="B667" s="89"/>
      <c r="C667" s="103" t="s">
        <v>660</v>
      </c>
      <c r="D667" s="101">
        <v>270225</v>
      </c>
      <c r="E667" s="91"/>
      <c r="F667" s="91"/>
    </row>
    <row r="668" spans="2:6" ht="15.75">
      <c r="B668" s="89"/>
      <c r="C668" s="103" t="s">
        <v>661</v>
      </c>
      <c r="D668" s="101">
        <v>270226</v>
      </c>
      <c r="E668" s="91"/>
      <c r="F668" s="91"/>
    </row>
    <row r="669" spans="2:6" ht="15.75">
      <c r="B669" s="89"/>
      <c r="C669" s="103" t="s">
        <v>662</v>
      </c>
      <c r="D669" s="101">
        <v>270227</v>
      </c>
      <c r="E669" s="91"/>
      <c r="F669" s="91"/>
    </row>
    <row r="670" spans="2:6" ht="15.75">
      <c r="B670" s="89"/>
      <c r="C670" s="103" t="s">
        <v>663</v>
      </c>
      <c r="D670" s="101">
        <v>270228</v>
      </c>
      <c r="E670" s="91"/>
      <c r="F670" s="91"/>
    </row>
    <row r="671" spans="2:6" ht="15.75">
      <c r="B671" s="89"/>
      <c r="C671" s="103" t="s">
        <v>664</v>
      </c>
      <c r="D671" s="101">
        <v>270229</v>
      </c>
      <c r="E671" s="91"/>
      <c r="F671" s="91"/>
    </row>
    <row r="672" spans="2:6" ht="15.75">
      <c r="B672" s="89"/>
      <c r="C672" s="103" t="s">
        <v>665</v>
      </c>
      <c r="D672" s="101">
        <v>270230</v>
      </c>
      <c r="E672" s="91"/>
      <c r="F672" s="91"/>
    </row>
    <row r="673" spans="2:6" ht="15.75">
      <c r="B673" s="89"/>
      <c r="C673" s="103" t="s">
        <v>666</v>
      </c>
      <c r="D673" s="101">
        <v>270231</v>
      </c>
      <c r="E673" s="91"/>
      <c r="F673" s="91"/>
    </row>
    <row r="674" spans="2:6" ht="15.75">
      <c r="B674" s="89"/>
      <c r="C674" s="103" t="s">
        <v>667</v>
      </c>
      <c r="D674" s="101">
        <v>270232</v>
      </c>
      <c r="E674" s="91"/>
      <c r="F674" s="91"/>
    </row>
    <row r="675" spans="2:6" ht="15.75">
      <c r="B675" s="89"/>
      <c r="C675" s="103" t="s">
        <v>668</v>
      </c>
      <c r="D675" s="101">
        <v>270233</v>
      </c>
      <c r="E675" s="91"/>
      <c r="F675" s="91"/>
    </row>
    <row r="676" spans="2:6" ht="15.75">
      <c r="B676" s="89"/>
      <c r="C676" s="103" t="s">
        <v>669</v>
      </c>
      <c r="D676" s="101">
        <v>270234</v>
      </c>
      <c r="E676" s="91"/>
      <c r="F676" s="91"/>
    </row>
    <row r="677" spans="2:6" ht="15.75">
      <c r="B677" s="89"/>
      <c r="C677" s="103" t="s">
        <v>670</v>
      </c>
      <c r="D677" s="101">
        <v>270235</v>
      </c>
      <c r="E677" s="91"/>
      <c r="F677" s="91"/>
    </row>
    <row r="678" spans="2:6" ht="15.75">
      <c r="B678" s="89"/>
      <c r="C678" s="103" t="s">
        <v>671</v>
      </c>
      <c r="D678" s="101">
        <v>270236</v>
      </c>
      <c r="E678" s="91"/>
      <c r="F678" s="91"/>
    </row>
    <row r="679" spans="2:6" ht="15.75">
      <c r="B679" s="89"/>
      <c r="C679" s="103" t="s">
        <v>672</v>
      </c>
      <c r="D679" s="101">
        <v>270237</v>
      </c>
      <c r="E679" s="91"/>
      <c r="F679" s="91"/>
    </row>
    <row r="680" spans="2:6" ht="15.75">
      <c r="B680" s="89"/>
      <c r="C680" s="103" t="s">
        <v>673</v>
      </c>
      <c r="D680" s="101">
        <v>270238</v>
      </c>
      <c r="E680" s="91"/>
      <c r="F680" s="91"/>
    </row>
    <row r="681" spans="2:6" ht="15.75">
      <c r="B681" s="89"/>
      <c r="C681" s="103" t="s">
        <v>674</v>
      </c>
      <c r="D681" s="101">
        <v>270239</v>
      </c>
      <c r="E681" s="91"/>
      <c r="F681" s="91"/>
    </row>
    <row r="682" spans="2:6" ht="15.75">
      <c r="B682" s="89"/>
      <c r="C682" s="103" t="s">
        <v>675</v>
      </c>
      <c r="D682" s="101">
        <v>270240</v>
      </c>
      <c r="E682" s="91"/>
      <c r="F682" s="91"/>
    </row>
    <row r="683" spans="2:6" ht="15.75">
      <c r="B683" s="89"/>
      <c r="C683" s="103" t="s">
        <v>676</v>
      </c>
      <c r="D683" s="101">
        <v>270241</v>
      </c>
      <c r="E683" s="91"/>
      <c r="F683" s="91"/>
    </row>
    <row r="684" spans="2:6" ht="15.75">
      <c r="B684" s="89"/>
      <c r="C684" s="103" t="s">
        <v>677</v>
      </c>
      <c r="D684" s="101">
        <v>270242</v>
      </c>
      <c r="E684" s="91"/>
      <c r="F684" s="91"/>
    </row>
    <row r="685" spans="2:6" ht="15.75">
      <c r="B685" s="89"/>
      <c r="C685" s="103" t="s">
        <v>678</v>
      </c>
      <c r="D685" s="101">
        <v>270243</v>
      </c>
      <c r="E685" s="91"/>
      <c r="F685" s="91"/>
    </row>
    <row r="686" spans="2:6" ht="15.75">
      <c r="B686" s="89"/>
      <c r="C686" s="103" t="s">
        <v>679</v>
      </c>
      <c r="D686" s="101">
        <v>270244</v>
      </c>
      <c r="E686" s="91"/>
      <c r="F686" s="91"/>
    </row>
    <row r="687" spans="2:6" ht="15.75">
      <c r="B687" s="89"/>
      <c r="C687" s="103" t="s">
        <v>680</v>
      </c>
      <c r="D687" s="101">
        <v>270245</v>
      </c>
      <c r="E687" s="91"/>
      <c r="F687" s="91"/>
    </row>
    <row r="688" spans="2:6" ht="15.75">
      <c r="B688" s="89"/>
      <c r="C688" s="103" t="s">
        <v>681</v>
      </c>
      <c r="D688" s="101">
        <v>270246</v>
      </c>
      <c r="E688" s="91"/>
      <c r="F688" s="91"/>
    </row>
    <row r="689" spans="2:6" ht="15.75">
      <c r="B689" s="89"/>
      <c r="C689" s="103" t="s">
        <v>682</v>
      </c>
      <c r="D689" s="101">
        <v>270247</v>
      </c>
      <c r="E689" s="91"/>
      <c r="F689" s="91"/>
    </row>
    <row r="690" spans="2:6" ht="15.75">
      <c r="B690" s="89"/>
      <c r="C690" s="103" t="s">
        <v>683</v>
      </c>
      <c r="D690" s="101">
        <v>270248</v>
      </c>
      <c r="E690" s="91"/>
      <c r="F690" s="91"/>
    </row>
    <row r="691" spans="2:6" ht="15.75">
      <c r="B691" s="89"/>
      <c r="C691" s="103" t="s">
        <v>684</v>
      </c>
      <c r="D691" s="101">
        <v>270249</v>
      </c>
      <c r="E691" s="91"/>
      <c r="F691" s="91"/>
    </row>
    <row r="692" spans="2:6" ht="15.75">
      <c r="B692" s="89"/>
      <c r="C692" s="103" t="s">
        <v>685</v>
      </c>
      <c r="D692" s="101">
        <v>270250</v>
      </c>
      <c r="E692" s="91"/>
      <c r="F692" s="91"/>
    </row>
    <row r="693" spans="2:6" ht="15.75">
      <c r="B693" s="89"/>
      <c r="C693" s="103" t="s">
        <v>686</v>
      </c>
      <c r="D693" s="101">
        <v>270251</v>
      </c>
      <c r="E693" s="91"/>
      <c r="F693" s="91"/>
    </row>
    <row r="694" spans="2:6" ht="15.75">
      <c r="B694" s="89"/>
      <c r="C694" s="103" t="s">
        <v>687</v>
      </c>
      <c r="D694" s="101">
        <v>270252</v>
      </c>
      <c r="E694" s="91"/>
      <c r="F694" s="91"/>
    </row>
    <row r="695" spans="2:6" ht="15.75">
      <c r="B695" s="89"/>
      <c r="C695" s="103" t="s">
        <v>688</v>
      </c>
      <c r="D695" s="101">
        <v>270253</v>
      </c>
      <c r="E695" s="91"/>
      <c r="F695" s="91"/>
    </row>
    <row r="696" spans="2:6" ht="15.75">
      <c r="B696" s="89"/>
      <c r="C696" s="103" t="s">
        <v>689</v>
      </c>
      <c r="D696" s="101">
        <v>270254</v>
      </c>
      <c r="E696" s="91"/>
      <c r="F696" s="91"/>
    </row>
    <row r="697" spans="2:6" ht="15.75">
      <c r="B697" s="89"/>
      <c r="C697" s="103" t="s">
        <v>690</v>
      </c>
      <c r="D697" s="101">
        <v>270255</v>
      </c>
      <c r="E697" s="91"/>
      <c r="F697" s="91"/>
    </row>
    <row r="698" spans="2:6" ht="15.75">
      <c r="B698" s="89"/>
      <c r="C698" s="103" t="s">
        <v>691</v>
      </c>
      <c r="D698" s="101">
        <v>270256</v>
      </c>
      <c r="E698" s="91"/>
      <c r="F698" s="91"/>
    </row>
    <row r="699" spans="2:6" ht="15.75">
      <c r="B699" s="89"/>
      <c r="C699" s="103" t="s">
        <v>692</v>
      </c>
      <c r="D699" s="101">
        <v>270257</v>
      </c>
      <c r="E699" s="91"/>
      <c r="F699" s="91"/>
    </row>
    <row r="700" spans="2:6" ht="15.75">
      <c r="B700" s="89"/>
      <c r="C700" s="103" t="s">
        <v>693</v>
      </c>
      <c r="D700" s="101">
        <v>270258</v>
      </c>
      <c r="E700" s="91"/>
      <c r="F700" s="91"/>
    </row>
    <row r="701" spans="2:6" ht="15.75">
      <c r="B701" s="89"/>
      <c r="C701" s="103" t="s">
        <v>694</v>
      </c>
      <c r="D701" s="101">
        <v>270259</v>
      </c>
      <c r="E701" s="91"/>
      <c r="F701" s="91"/>
    </row>
    <row r="702" spans="2:6" ht="15.75">
      <c r="B702" s="89"/>
      <c r="C702" s="103" t="s">
        <v>695</v>
      </c>
      <c r="D702" s="101">
        <v>270260</v>
      </c>
      <c r="E702" s="91"/>
      <c r="F702" s="91"/>
    </row>
    <row r="703" spans="2:6" ht="15.75">
      <c r="B703" s="89"/>
      <c r="C703" s="103"/>
      <c r="D703" s="101"/>
      <c r="E703" s="91"/>
      <c r="F703" s="91"/>
    </row>
    <row r="704" spans="2:6" ht="15.75">
      <c r="B704" s="89"/>
      <c r="C704" s="105" t="s">
        <v>696</v>
      </c>
      <c r="D704" s="101"/>
      <c r="E704" s="91"/>
      <c r="F704" s="91"/>
    </row>
    <row r="705" spans="2:6" ht="15.75">
      <c r="B705" s="89"/>
      <c r="C705" s="103" t="s">
        <v>697</v>
      </c>
      <c r="D705" s="101">
        <v>270301</v>
      </c>
      <c r="E705" s="91"/>
      <c r="F705" s="91"/>
    </row>
    <row r="706" spans="2:6" ht="15.75">
      <c r="B706" s="89"/>
      <c r="C706" s="103" t="s">
        <v>698</v>
      </c>
      <c r="D706" s="101">
        <v>270302</v>
      </c>
      <c r="E706" s="91"/>
      <c r="F706" s="91"/>
    </row>
    <row r="707" spans="2:6" ht="15.75">
      <c r="B707" s="89"/>
      <c r="C707" s="103" t="s">
        <v>699</v>
      </c>
      <c r="D707" s="101">
        <v>270303</v>
      </c>
      <c r="E707" s="91"/>
      <c r="F707" s="91"/>
    </row>
    <row r="708" spans="2:6" ht="15.75">
      <c r="B708" s="89"/>
      <c r="C708" s="103" t="s">
        <v>700</v>
      </c>
      <c r="D708" s="101">
        <v>270304</v>
      </c>
      <c r="E708" s="91"/>
      <c r="F708" s="91"/>
    </row>
    <row r="709" spans="2:6" ht="15.75">
      <c r="B709" s="89"/>
      <c r="C709" s="103" t="s">
        <v>701</v>
      </c>
      <c r="D709" s="101">
        <v>270305</v>
      </c>
      <c r="E709" s="91"/>
      <c r="F709" s="91"/>
    </row>
    <row r="710" spans="2:6" ht="15.75">
      <c r="B710" s="89"/>
      <c r="C710" s="103" t="s">
        <v>702</v>
      </c>
      <c r="D710" s="101">
        <v>270306</v>
      </c>
      <c r="E710" s="91"/>
      <c r="F710" s="91"/>
    </row>
    <row r="711" spans="2:6" ht="15.75">
      <c r="B711" s="89"/>
      <c r="C711" s="103" t="s">
        <v>703</v>
      </c>
      <c r="D711" s="101">
        <v>270307</v>
      </c>
      <c r="E711" s="91"/>
      <c r="F711" s="91"/>
    </row>
    <row r="712" spans="2:6" ht="15.75">
      <c r="B712" s="89"/>
      <c r="C712" s="103" t="s">
        <v>704</v>
      </c>
      <c r="D712" s="101">
        <v>270308</v>
      </c>
      <c r="E712" s="91"/>
      <c r="F712" s="91"/>
    </row>
    <row r="713" spans="2:6" ht="15.75">
      <c r="B713" s="89"/>
      <c r="C713" s="103" t="s">
        <v>705</v>
      </c>
      <c r="D713" s="101">
        <v>270309</v>
      </c>
      <c r="E713" s="91"/>
      <c r="F713" s="91"/>
    </row>
    <row r="714" spans="2:6" ht="15.75">
      <c r="B714" s="89"/>
      <c r="C714" s="103" t="s">
        <v>706</v>
      </c>
      <c r="D714" s="101">
        <v>270310</v>
      </c>
      <c r="E714" s="91"/>
      <c r="F714" s="91"/>
    </row>
    <row r="715" spans="2:6" ht="15.75">
      <c r="B715" s="89"/>
      <c r="C715" s="103" t="s">
        <v>707</v>
      </c>
      <c r="D715" s="101">
        <v>270311</v>
      </c>
      <c r="E715" s="91"/>
      <c r="F715" s="91"/>
    </row>
    <row r="716" spans="2:6" ht="15.75">
      <c r="B716" s="89"/>
      <c r="C716" s="103" t="s">
        <v>708</v>
      </c>
      <c r="D716" s="101">
        <v>270312</v>
      </c>
      <c r="E716" s="91"/>
      <c r="F716" s="91"/>
    </row>
    <row r="717" spans="2:6" ht="15.75">
      <c r="B717" s="89"/>
      <c r="C717" s="103" t="s">
        <v>709</v>
      </c>
      <c r="D717" s="101">
        <v>270313</v>
      </c>
      <c r="E717" s="91"/>
      <c r="F717" s="91"/>
    </row>
    <row r="718" spans="2:6" ht="15.75">
      <c r="B718" s="89"/>
      <c r="C718" s="103" t="s">
        <v>710</v>
      </c>
      <c r="D718" s="101">
        <v>270314</v>
      </c>
      <c r="E718" s="91"/>
      <c r="F718" s="91"/>
    </row>
    <row r="719" spans="2:6" ht="15.75">
      <c r="B719" s="89"/>
      <c r="C719" s="103" t="s">
        <v>711</v>
      </c>
      <c r="D719" s="101">
        <v>270315</v>
      </c>
      <c r="E719" s="91"/>
      <c r="F719" s="91"/>
    </row>
    <row r="720" spans="2:6" ht="15.75">
      <c r="B720" s="89"/>
      <c r="C720" s="103" t="s">
        <v>712</v>
      </c>
      <c r="D720" s="101">
        <v>270316</v>
      </c>
      <c r="E720" s="91"/>
      <c r="F720" s="91"/>
    </row>
    <row r="721" spans="2:6" ht="15.75">
      <c r="B721" s="89"/>
      <c r="C721" s="103" t="s">
        <v>713</v>
      </c>
      <c r="D721" s="101">
        <v>270317</v>
      </c>
      <c r="E721" s="91"/>
      <c r="F721" s="91"/>
    </row>
    <row r="722" spans="2:6" ht="15.75">
      <c r="B722" s="89"/>
      <c r="C722" s="103" t="s">
        <v>714</v>
      </c>
      <c r="D722" s="101">
        <v>270318</v>
      </c>
      <c r="E722" s="91"/>
      <c r="F722" s="91"/>
    </row>
    <row r="723" spans="2:6" ht="15.75">
      <c r="B723" s="89"/>
      <c r="C723" s="103" t="s">
        <v>715</v>
      </c>
      <c r="D723" s="101">
        <v>270319</v>
      </c>
      <c r="E723" s="91"/>
      <c r="F723" s="91"/>
    </row>
    <row r="724" spans="2:6" ht="15.75">
      <c r="B724" s="89"/>
      <c r="C724" s="103" t="s">
        <v>716</v>
      </c>
      <c r="D724" s="101">
        <v>270320</v>
      </c>
      <c r="E724" s="91"/>
      <c r="F724" s="91"/>
    </row>
    <row r="725" spans="2:6" ht="15.75">
      <c r="B725" s="89"/>
      <c r="C725" s="103" t="s">
        <v>717</v>
      </c>
      <c r="D725" s="101">
        <v>270321</v>
      </c>
      <c r="E725" s="91"/>
      <c r="F725" s="91"/>
    </row>
    <row r="726" spans="2:6" ht="15.75">
      <c r="B726" s="89"/>
      <c r="C726" s="103" t="s">
        <v>718</v>
      </c>
      <c r="D726" s="101">
        <v>270322</v>
      </c>
      <c r="E726" s="91"/>
      <c r="F726" s="91"/>
    </row>
    <row r="727" spans="2:6" ht="15.75">
      <c r="B727" s="89"/>
      <c r="C727" s="103" t="s">
        <v>719</v>
      </c>
      <c r="D727" s="101">
        <v>270323</v>
      </c>
      <c r="E727" s="91"/>
      <c r="F727" s="91"/>
    </row>
    <row r="728" spans="2:6" ht="15.75">
      <c r="B728" s="89"/>
      <c r="C728" s="103" t="s">
        <v>720</v>
      </c>
      <c r="D728" s="101">
        <v>270324</v>
      </c>
      <c r="E728" s="91"/>
      <c r="F728" s="91"/>
    </row>
    <row r="729" spans="2:6" ht="15.75">
      <c r="B729" s="89"/>
      <c r="C729" s="103" t="s">
        <v>721</v>
      </c>
      <c r="D729" s="101">
        <v>270325</v>
      </c>
      <c r="E729" s="91"/>
      <c r="F729" s="91"/>
    </row>
    <row r="730" spans="2:6" ht="15.75">
      <c r="B730" s="89"/>
      <c r="C730" s="103" t="s">
        <v>722</v>
      </c>
      <c r="D730" s="101">
        <v>270326</v>
      </c>
      <c r="E730" s="91"/>
      <c r="F730" s="91"/>
    </row>
    <row r="731" spans="2:6" ht="15.75">
      <c r="B731" s="89"/>
      <c r="C731" s="103" t="s">
        <v>723</v>
      </c>
      <c r="D731" s="101">
        <v>270327</v>
      </c>
      <c r="E731" s="91"/>
      <c r="F731" s="91"/>
    </row>
    <row r="732" spans="2:6" ht="15.75">
      <c r="B732" s="89"/>
      <c r="C732" s="103" t="s">
        <v>724</v>
      </c>
      <c r="D732" s="101">
        <v>270328</v>
      </c>
      <c r="E732" s="91"/>
      <c r="F732" s="91"/>
    </row>
    <row r="733" spans="2:6" ht="15.75">
      <c r="B733" s="89"/>
      <c r="C733" s="103" t="s">
        <v>725</v>
      </c>
      <c r="D733" s="101">
        <v>270329</v>
      </c>
      <c r="E733" s="91"/>
      <c r="F733" s="91"/>
    </row>
    <row r="734" spans="2:6" ht="15.75">
      <c r="B734" s="89"/>
      <c r="C734" s="103" t="s">
        <v>726</v>
      </c>
      <c r="D734" s="101">
        <v>270330</v>
      </c>
      <c r="E734" s="91"/>
      <c r="F734" s="91"/>
    </row>
    <row r="735" spans="2:6" ht="15.75">
      <c r="B735" s="89"/>
      <c r="C735" s="103" t="s">
        <v>727</v>
      </c>
      <c r="D735" s="101">
        <v>270331</v>
      </c>
      <c r="E735" s="91"/>
      <c r="F735" s="91"/>
    </row>
    <row r="736" spans="2:6" ht="15.75">
      <c r="B736" s="89"/>
      <c r="C736" s="103" t="s">
        <v>728</v>
      </c>
      <c r="D736" s="101">
        <v>270332</v>
      </c>
      <c r="E736" s="91"/>
      <c r="F736" s="91"/>
    </row>
    <row r="737" spans="2:6" ht="15.75">
      <c r="B737" s="89"/>
      <c r="C737" s="103" t="s">
        <v>729</v>
      </c>
      <c r="D737" s="101">
        <v>270333</v>
      </c>
      <c r="E737" s="91"/>
      <c r="F737" s="91"/>
    </row>
    <row r="738" spans="2:6" ht="15.75">
      <c r="B738" s="89"/>
      <c r="C738" s="103" t="s">
        <v>730</v>
      </c>
      <c r="D738" s="101">
        <v>270334</v>
      </c>
      <c r="E738" s="91"/>
      <c r="F738" s="91"/>
    </row>
    <row r="739" spans="2:6" ht="15.75">
      <c r="B739" s="89"/>
      <c r="C739" s="103" t="s">
        <v>731</v>
      </c>
      <c r="D739" s="101">
        <v>270335</v>
      </c>
      <c r="E739" s="91"/>
      <c r="F739" s="91"/>
    </row>
    <row r="740" spans="2:6" ht="15.75">
      <c r="B740" s="89"/>
      <c r="C740" s="103" t="s">
        <v>732</v>
      </c>
      <c r="D740" s="101">
        <v>270336</v>
      </c>
      <c r="E740" s="91"/>
      <c r="F740" s="91"/>
    </row>
    <row r="741" spans="2:6" ht="15.75">
      <c r="B741" s="89"/>
      <c r="C741" s="103" t="s">
        <v>733</v>
      </c>
      <c r="D741" s="101">
        <v>270337</v>
      </c>
      <c r="E741" s="91"/>
      <c r="F741" s="91"/>
    </row>
    <row r="742" spans="2:6" ht="15.75">
      <c r="B742" s="89"/>
      <c r="C742" s="103" t="s">
        <v>734</v>
      </c>
      <c r="D742" s="101">
        <v>270338</v>
      </c>
      <c r="E742" s="91"/>
      <c r="F742" s="91"/>
    </row>
    <row r="743" spans="2:6" ht="15.75">
      <c r="B743" s="89"/>
      <c r="C743" s="103" t="s">
        <v>735</v>
      </c>
      <c r="D743" s="101">
        <v>270339</v>
      </c>
      <c r="E743" s="91"/>
      <c r="F743" s="91"/>
    </row>
    <row r="744" spans="2:6" ht="15.75">
      <c r="B744" s="89"/>
      <c r="C744" s="103" t="s">
        <v>736</v>
      </c>
      <c r="D744" s="101">
        <v>270340</v>
      </c>
      <c r="E744" s="91"/>
      <c r="F744" s="91"/>
    </row>
    <row r="745" spans="2:6" ht="15.75">
      <c r="B745" s="89"/>
      <c r="C745" s="103" t="s">
        <v>737</v>
      </c>
      <c r="D745" s="101">
        <v>270341</v>
      </c>
      <c r="E745" s="91"/>
      <c r="F745" s="91"/>
    </row>
    <row r="746" spans="2:6" ht="15.75">
      <c r="B746" s="89"/>
      <c r="C746" s="103" t="s">
        <v>738</v>
      </c>
      <c r="D746" s="101">
        <v>270342</v>
      </c>
      <c r="E746" s="91"/>
      <c r="F746" s="91"/>
    </row>
    <row r="747" spans="2:6" ht="15.75">
      <c r="B747" s="89"/>
      <c r="C747" s="103" t="s">
        <v>739</v>
      </c>
      <c r="D747" s="101">
        <v>270343</v>
      </c>
      <c r="E747" s="91"/>
      <c r="F747" s="91"/>
    </row>
    <row r="748" spans="2:6" ht="15.75">
      <c r="B748" s="89"/>
      <c r="C748" s="103" t="s">
        <v>740</v>
      </c>
      <c r="D748" s="101">
        <v>270344</v>
      </c>
      <c r="E748" s="91"/>
      <c r="F748" s="91"/>
    </row>
    <row r="749" spans="2:6" ht="15.75">
      <c r="B749" s="89"/>
      <c r="C749" s="103"/>
      <c r="D749" s="101">
        <v>270345</v>
      </c>
      <c r="E749" s="91"/>
      <c r="F749" s="91"/>
    </row>
    <row r="750" spans="2:6" ht="15.75">
      <c r="B750" s="89"/>
      <c r="C750" s="103" t="s">
        <v>741</v>
      </c>
      <c r="D750" s="101">
        <v>270346</v>
      </c>
      <c r="E750" s="91"/>
      <c r="F750" s="91"/>
    </row>
    <row r="751" spans="2:6" ht="15.75">
      <c r="B751" s="89"/>
      <c r="C751" s="103"/>
      <c r="D751" s="101">
        <v>270347</v>
      </c>
      <c r="E751" s="91"/>
      <c r="F751" s="91"/>
    </row>
    <row r="752" spans="2:6" ht="15.75">
      <c r="B752" s="89"/>
      <c r="C752" s="103"/>
      <c r="D752" s="101">
        <v>270348</v>
      </c>
      <c r="E752" s="91"/>
      <c r="F752" s="91"/>
    </row>
    <row r="753" spans="2:6" ht="15.75">
      <c r="B753" s="89"/>
      <c r="C753" s="103"/>
      <c r="D753" s="101">
        <v>270349</v>
      </c>
      <c r="E753" s="91"/>
      <c r="F753" s="91"/>
    </row>
    <row r="754" spans="2:6" ht="15.75">
      <c r="B754" s="89"/>
      <c r="C754" s="103"/>
      <c r="D754" s="101">
        <v>270350</v>
      </c>
      <c r="E754" s="91"/>
      <c r="F754" s="91"/>
    </row>
    <row r="755" spans="2:6" ht="15.75">
      <c r="B755" s="89"/>
      <c r="C755" s="103"/>
      <c r="D755" s="101">
        <v>270351</v>
      </c>
      <c r="E755" s="91"/>
      <c r="F755" s="91"/>
    </row>
    <row r="756" spans="2:6" ht="15.75">
      <c r="B756" s="89"/>
      <c r="C756" s="103"/>
      <c r="D756" s="101">
        <v>270352</v>
      </c>
      <c r="E756" s="91"/>
      <c r="F756" s="91"/>
    </row>
    <row r="757" spans="2:6" ht="15.75">
      <c r="B757" s="89"/>
      <c r="C757" s="103" t="s">
        <v>742</v>
      </c>
      <c r="D757" s="101">
        <v>270353</v>
      </c>
      <c r="E757" s="91"/>
      <c r="F757" s="91"/>
    </row>
    <row r="758" spans="2:6" ht="15.75">
      <c r="B758" s="89"/>
      <c r="C758" s="103" t="s">
        <v>743</v>
      </c>
      <c r="D758" s="101">
        <v>270354</v>
      </c>
      <c r="E758" s="91"/>
      <c r="F758" s="91"/>
    </row>
    <row r="759" spans="2:6" ht="15.75">
      <c r="B759" s="89"/>
      <c r="C759" s="103" t="s">
        <v>744</v>
      </c>
      <c r="D759" s="101">
        <v>270355</v>
      </c>
      <c r="E759" s="91"/>
      <c r="F759" s="91"/>
    </row>
    <row r="760" spans="2:6" ht="15.75">
      <c r="B760" s="89"/>
      <c r="C760" s="103"/>
      <c r="D760" s="101">
        <v>270356</v>
      </c>
      <c r="E760" s="91"/>
      <c r="F760" s="91"/>
    </row>
    <row r="761" spans="2:6" ht="15.75">
      <c r="B761" s="89"/>
      <c r="C761" s="103"/>
      <c r="D761" s="101">
        <v>270357</v>
      </c>
      <c r="E761" s="91"/>
      <c r="F761" s="91"/>
    </row>
    <row r="762" spans="2:6" ht="15.75">
      <c r="B762" s="89"/>
      <c r="C762" s="103"/>
      <c r="D762" s="101">
        <v>270358</v>
      </c>
      <c r="E762" s="91"/>
      <c r="F762" s="91"/>
    </row>
    <row r="763" spans="2:6" ht="15.75">
      <c r="B763" s="89"/>
      <c r="C763" s="103" t="s">
        <v>745</v>
      </c>
      <c r="D763" s="101">
        <v>270359</v>
      </c>
      <c r="E763" s="91"/>
      <c r="F763" s="91"/>
    </row>
    <row r="764" spans="2:6" ht="15.75">
      <c r="B764" s="89"/>
      <c r="C764" s="103" t="s">
        <v>746</v>
      </c>
      <c r="D764" s="101">
        <v>270360</v>
      </c>
      <c r="E764" s="91"/>
      <c r="F764" s="91"/>
    </row>
    <row r="765" spans="2:6" ht="15.75">
      <c r="B765" s="89"/>
      <c r="C765" s="103" t="s">
        <v>747</v>
      </c>
      <c r="D765" s="101">
        <v>270361</v>
      </c>
      <c r="E765" s="91"/>
      <c r="F765" s="91"/>
    </row>
    <row r="766" spans="2:6" ht="15.75">
      <c r="B766" s="89"/>
      <c r="C766" s="103" t="s">
        <v>748</v>
      </c>
      <c r="D766" s="101">
        <v>270362</v>
      </c>
      <c r="E766" s="91"/>
      <c r="F766" s="91"/>
    </row>
    <row r="767" spans="2:6" ht="15.75">
      <c r="B767" s="89"/>
      <c r="C767" s="103" t="s">
        <v>749</v>
      </c>
      <c r="D767" s="101">
        <v>270363</v>
      </c>
      <c r="E767" s="91"/>
      <c r="F767" s="91"/>
    </row>
    <row r="768" spans="2:6" ht="15.75">
      <c r="B768" s="89"/>
      <c r="C768" s="103" t="s">
        <v>750</v>
      </c>
      <c r="D768" s="101">
        <v>270364</v>
      </c>
      <c r="E768" s="91"/>
      <c r="F768" s="91"/>
    </row>
    <row r="769" spans="2:6" ht="15.75">
      <c r="B769" s="89"/>
      <c r="C769" s="103" t="s">
        <v>751</v>
      </c>
      <c r="D769" s="101">
        <v>270365</v>
      </c>
      <c r="E769" s="91"/>
      <c r="F769" s="91"/>
    </row>
    <row r="770" spans="2:6" ht="15.75">
      <c r="B770" s="89"/>
      <c r="C770" s="103" t="s">
        <v>752</v>
      </c>
      <c r="D770" s="101">
        <v>270366</v>
      </c>
      <c r="E770" s="91"/>
      <c r="F770" s="91"/>
    </row>
    <row r="771" spans="2:6" ht="15.75">
      <c r="B771" s="89"/>
      <c r="C771" s="103" t="s">
        <v>753</v>
      </c>
      <c r="D771" s="101">
        <v>270367</v>
      </c>
      <c r="E771" s="91"/>
      <c r="F771" s="91"/>
    </row>
    <row r="772" spans="2:6" ht="15.75">
      <c r="B772" s="89"/>
      <c r="C772" s="103" t="s">
        <v>754</v>
      </c>
      <c r="D772" s="101">
        <v>270368</v>
      </c>
      <c r="E772" s="91"/>
      <c r="F772" s="91"/>
    </row>
    <row r="773" spans="2:6" ht="15.75">
      <c r="B773" s="89"/>
      <c r="C773" s="103" t="s">
        <v>755</v>
      </c>
      <c r="D773" s="101">
        <v>270369</v>
      </c>
      <c r="E773" s="91"/>
      <c r="F773" s="91"/>
    </row>
    <row r="774" spans="2:6" ht="15.75">
      <c r="B774" s="89"/>
      <c r="C774" s="103" t="s">
        <v>756</v>
      </c>
      <c r="D774" s="101">
        <v>270370</v>
      </c>
      <c r="E774" s="91"/>
      <c r="F774" s="91"/>
    </row>
    <row r="775" spans="2:6" ht="15.75">
      <c r="B775" s="89"/>
      <c r="C775" s="103" t="s">
        <v>757</v>
      </c>
      <c r="D775" s="101">
        <v>270371</v>
      </c>
      <c r="E775" s="91"/>
      <c r="F775" s="91"/>
    </row>
    <row r="776" spans="2:6" ht="15.75">
      <c r="B776" s="89"/>
      <c r="C776" s="103" t="s">
        <v>758</v>
      </c>
      <c r="D776" s="101">
        <v>270372</v>
      </c>
      <c r="E776" s="91"/>
      <c r="F776" s="91"/>
    </row>
    <row r="777" spans="2:6" ht="15.75">
      <c r="B777" s="89"/>
      <c r="C777" s="103" t="s">
        <v>759</v>
      </c>
      <c r="D777" s="101">
        <v>270373</v>
      </c>
      <c r="E777" s="91"/>
      <c r="F777" s="91"/>
    </row>
    <row r="778" spans="2:6" ht="15.75">
      <c r="B778" s="89"/>
      <c r="C778" s="103" t="s">
        <v>760</v>
      </c>
      <c r="D778" s="101">
        <v>270374</v>
      </c>
      <c r="E778" s="91"/>
      <c r="F778" s="91"/>
    </row>
    <row r="779" spans="2:6" ht="15.75">
      <c r="B779" s="89"/>
      <c r="C779" s="103" t="s">
        <v>761</v>
      </c>
      <c r="D779" s="101">
        <v>270375</v>
      </c>
      <c r="E779" s="91"/>
      <c r="F779" s="91"/>
    </row>
    <row r="780" spans="2:6" ht="15.75">
      <c r="B780" s="89"/>
      <c r="C780" s="103" t="s">
        <v>762</v>
      </c>
      <c r="D780" s="101">
        <v>270376</v>
      </c>
      <c r="E780" s="91"/>
      <c r="F780" s="91"/>
    </row>
    <row r="781" spans="2:6" ht="15.75">
      <c r="B781" s="89"/>
      <c r="C781" s="103" t="s">
        <v>763</v>
      </c>
      <c r="D781" s="101">
        <v>270377</v>
      </c>
      <c r="E781" s="91"/>
      <c r="F781" s="91"/>
    </row>
    <row r="782" spans="2:6" ht="15.75">
      <c r="B782" s="89"/>
      <c r="C782" s="103" t="s">
        <v>764</v>
      </c>
      <c r="D782" s="101">
        <v>270378</v>
      </c>
      <c r="E782" s="91"/>
      <c r="F782" s="91"/>
    </row>
    <row r="783" spans="2:6" ht="15.75">
      <c r="B783" s="89"/>
      <c r="C783" s="103" t="s">
        <v>765</v>
      </c>
      <c r="D783" s="101">
        <v>270379</v>
      </c>
      <c r="E783" s="91"/>
      <c r="F783" s="91"/>
    </row>
    <row r="784" spans="2:6" ht="15.75">
      <c r="B784" s="89"/>
      <c r="C784" s="103" t="s">
        <v>766</v>
      </c>
      <c r="D784" s="101">
        <v>270380</v>
      </c>
      <c r="E784" s="91"/>
      <c r="F784" s="91"/>
    </row>
    <row r="785" spans="2:6" ht="15.75">
      <c r="B785" s="89"/>
      <c r="C785" s="103"/>
      <c r="D785" s="101"/>
      <c r="E785" s="91"/>
      <c r="F785" s="91"/>
    </row>
    <row r="786" spans="2:6" ht="15.75">
      <c r="B786" s="89"/>
      <c r="C786" s="105" t="s">
        <v>767</v>
      </c>
      <c r="D786" s="101"/>
      <c r="E786" s="91"/>
      <c r="F786" s="91"/>
    </row>
    <row r="787" spans="2:6" ht="15.75">
      <c r="B787" s="89"/>
      <c r="C787" s="103" t="s">
        <v>768</v>
      </c>
      <c r="D787" s="101">
        <v>270401</v>
      </c>
      <c r="E787" s="91"/>
      <c r="F787" s="91"/>
    </row>
    <row r="788" spans="2:6" ht="15.75">
      <c r="B788" s="89"/>
      <c r="C788" s="103" t="s">
        <v>769</v>
      </c>
      <c r="D788" s="101">
        <v>270402</v>
      </c>
      <c r="E788" s="91"/>
      <c r="F788" s="91"/>
    </row>
    <row r="789" spans="2:6" ht="15.75">
      <c r="B789" s="89"/>
      <c r="C789" s="103" t="s">
        <v>770</v>
      </c>
      <c r="D789" s="101">
        <v>270403</v>
      </c>
      <c r="E789" s="91"/>
      <c r="F789" s="91"/>
    </row>
    <row r="790" spans="2:6" ht="15.75">
      <c r="B790" s="89"/>
      <c r="C790" s="103" t="s">
        <v>771</v>
      </c>
      <c r="D790" s="101">
        <v>270404</v>
      </c>
      <c r="E790" s="91"/>
      <c r="F790" s="91"/>
    </row>
    <row r="791" spans="2:6" ht="15.75">
      <c r="B791" s="89"/>
      <c r="C791" s="103" t="s">
        <v>772</v>
      </c>
      <c r="D791" s="101">
        <v>270405</v>
      </c>
      <c r="E791" s="91"/>
      <c r="F791" s="91"/>
    </row>
    <row r="792" spans="2:6" ht="15.75">
      <c r="B792" s="89"/>
      <c r="C792" s="103" t="s">
        <v>773</v>
      </c>
      <c r="D792" s="101">
        <v>270406</v>
      </c>
      <c r="E792" s="91"/>
      <c r="F792" s="91"/>
    </row>
    <row r="793" spans="2:6" ht="15.75">
      <c r="B793" s="89"/>
      <c r="C793" s="103" t="s">
        <v>774</v>
      </c>
      <c r="D793" s="101">
        <v>270407</v>
      </c>
      <c r="E793" s="91"/>
      <c r="F793" s="91"/>
    </row>
    <row r="794" spans="2:6" ht="15.75">
      <c r="B794" s="89"/>
      <c r="C794" s="103" t="s">
        <v>775</v>
      </c>
      <c r="D794" s="101">
        <v>270408</v>
      </c>
      <c r="E794" s="91"/>
      <c r="F794" s="91"/>
    </row>
    <row r="795" spans="2:6" ht="15.75">
      <c r="B795" s="89"/>
      <c r="C795" s="103" t="s">
        <v>776</v>
      </c>
      <c r="D795" s="101">
        <v>270409</v>
      </c>
      <c r="E795" s="91"/>
      <c r="F795" s="91"/>
    </row>
    <row r="796" spans="2:6" ht="15.75">
      <c r="B796" s="89"/>
      <c r="C796" s="103" t="s">
        <v>777</v>
      </c>
      <c r="D796" s="101">
        <v>270410</v>
      </c>
      <c r="E796" s="91"/>
      <c r="F796" s="91"/>
    </row>
    <row r="797" spans="2:6" ht="15.75">
      <c r="B797" s="89"/>
      <c r="C797" s="103" t="s">
        <v>778</v>
      </c>
      <c r="D797" s="101">
        <v>270411</v>
      </c>
      <c r="E797" s="91"/>
      <c r="F797" s="91"/>
    </row>
    <row r="798" spans="2:6" ht="15.75">
      <c r="B798" s="89"/>
      <c r="C798" s="103" t="s">
        <v>779</v>
      </c>
      <c r="D798" s="101">
        <v>270412</v>
      </c>
      <c r="E798" s="91"/>
      <c r="F798" s="91"/>
    </row>
    <row r="799" spans="2:6" ht="15.75">
      <c r="B799" s="89"/>
      <c r="C799" s="103" t="s">
        <v>780</v>
      </c>
      <c r="D799" s="101">
        <v>270413</v>
      </c>
      <c r="E799" s="91"/>
      <c r="F799" s="91"/>
    </row>
    <row r="800" spans="2:6" ht="15.75">
      <c r="B800" s="89"/>
      <c r="C800" s="103" t="s">
        <v>781</v>
      </c>
      <c r="D800" s="101">
        <v>270414</v>
      </c>
      <c r="E800" s="91"/>
      <c r="F800" s="91"/>
    </row>
    <row r="801" spans="2:6" ht="15.75">
      <c r="B801" s="89"/>
      <c r="C801" s="103"/>
      <c r="D801" s="101"/>
      <c r="E801" s="91"/>
      <c r="F801" s="91"/>
    </row>
    <row r="802" spans="2:6" ht="15.75">
      <c r="B802" s="89"/>
      <c r="C802" s="105" t="s">
        <v>782</v>
      </c>
      <c r="D802" s="101"/>
      <c r="E802" s="91"/>
      <c r="F802" s="91"/>
    </row>
    <row r="803" spans="2:6" ht="15.75">
      <c r="B803" s="89"/>
      <c r="C803" s="103" t="s">
        <v>783</v>
      </c>
      <c r="D803" s="101">
        <v>270501</v>
      </c>
      <c r="E803" s="91"/>
      <c r="F803" s="91"/>
    </row>
    <row r="804" spans="2:6" ht="15.75">
      <c r="B804" s="89"/>
      <c r="C804" s="103" t="s">
        <v>784</v>
      </c>
      <c r="D804" s="101">
        <v>270502</v>
      </c>
      <c r="E804" s="91"/>
      <c r="F804" s="91"/>
    </row>
    <row r="805" spans="2:6" ht="15.75">
      <c r="B805" s="89"/>
      <c r="C805" s="103" t="s">
        <v>785</v>
      </c>
      <c r="D805" s="101">
        <v>270503</v>
      </c>
      <c r="E805" s="91"/>
      <c r="F805" s="91"/>
    </row>
    <row r="806" spans="2:6" ht="15.75">
      <c r="B806" s="89"/>
      <c r="C806" s="103" t="s">
        <v>786</v>
      </c>
      <c r="D806" s="101">
        <v>270504</v>
      </c>
      <c r="E806" s="91"/>
      <c r="F806" s="91"/>
    </row>
    <row r="807" spans="2:6" ht="15.75">
      <c r="B807" s="89"/>
      <c r="C807" s="103" t="s">
        <v>787</v>
      </c>
      <c r="D807" s="101">
        <v>270505</v>
      </c>
      <c r="E807" s="91"/>
      <c r="F807" s="91"/>
    </row>
    <row r="808" spans="2:6" ht="15.75">
      <c r="B808" s="89"/>
      <c r="C808" s="103" t="s">
        <v>788</v>
      </c>
      <c r="D808" s="101">
        <v>270506</v>
      </c>
      <c r="E808" s="91"/>
      <c r="F808" s="91"/>
    </row>
    <row r="809" spans="2:6" ht="15.75">
      <c r="B809" s="89"/>
      <c r="C809" s="103" t="s">
        <v>789</v>
      </c>
      <c r="D809" s="101">
        <v>270507</v>
      </c>
      <c r="E809" s="91"/>
      <c r="F809" s="91"/>
    </row>
    <row r="810" spans="2:6" ht="15.75">
      <c r="B810" s="89"/>
      <c r="C810" s="103" t="s">
        <v>790</v>
      </c>
      <c r="D810" s="101">
        <v>270508</v>
      </c>
      <c r="E810" s="91"/>
      <c r="F810" s="91"/>
    </row>
    <row r="811" spans="2:6" ht="15.75">
      <c r="B811" s="89"/>
      <c r="C811" s="103" t="s">
        <v>791</v>
      </c>
      <c r="D811" s="101">
        <v>270509</v>
      </c>
      <c r="E811" s="91"/>
      <c r="F811" s="91"/>
    </row>
    <row r="812" spans="2:6" ht="15.75">
      <c r="B812" s="89"/>
      <c r="C812" s="103" t="s">
        <v>792</v>
      </c>
      <c r="D812" s="101">
        <v>270510</v>
      </c>
      <c r="E812" s="91"/>
      <c r="F812" s="91"/>
    </row>
    <row r="813" spans="2:6" ht="15.75">
      <c r="B813" s="89"/>
      <c r="C813" s="103" t="s">
        <v>793</v>
      </c>
      <c r="D813" s="101">
        <v>270511</v>
      </c>
      <c r="E813" s="91"/>
      <c r="F813" s="91"/>
    </row>
    <row r="814" spans="2:6" ht="15.75">
      <c r="B814" s="89"/>
      <c r="C814" s="103" t="s">
        <v>794</v>
      </c>
      <c r="D814" s="101">
        <v>270512</v>
      </c>
      <c r="E814" s="91"/>
      <c r="F814" s="91"/>
    </row>
    <row r="815" spans="2:6" ht="15.75">
      <c r="B815" s="89"/>
      <c r="C815" s="103" t="s">
        <v>795</v>
      </c>
      <c r="D815" s="101">
        <v>270513</v>
      </c>
      <c r="E815" s="91"/>
      <c r="F815" s="91"/>
    </row>
    <row r="816" spans="2:6" ht="15.75">
      <c r="B816" s="89"/>
      <c r="C816" s="103" t="s">
        <v>796</v>
      </c>
      <c r="D816" s="101">
        <v>270514</v>
      </c>
      <c r="E816" s="91"/>
      <c r="F816" s="91"/>
    </row>
    <row r="817" spans="2:6" ht="15.75">
      <c r="B817" s="89"/>
      <c r="C817" s="103" t="s">
        <v>797</v>
      </c>
      <c r="D817" s="101">
        <v>270515</v>
      </c>
      <c r="E817" s="91"/>
      <c r="F817" s="91"/>
    </row>
    <row r="818" spans="2:6" ht="15.75">
      <c r="B818" s="89"/>
      <c r="C818" s="103" t="s">
        <v>798</v>
      </c>
      <c r="D818" s="101">
        <v>270516</v>
      </c>
      <c r="E818" s="91"/>
      <c r="F818" s="91"/>
    </row>
    <row r="819" spans="2:6" ht="15.75">
      <c r="B819" s="89"/>
      <c r="C819" s="103" t="s">
        <v>799</v>
      </c>
      <c r="D819" s="101">
        <v>270517</v>
      </c>
      <c r="E819" s="91"/>
      <c r="F819" s="91"/>
    </row>
    <row r="820" spans="2:6" ht="15.75">
      <c r="B820" s="89"/>
      <c r="C820" s="103" t="s">
        <v>800</v>
      </c>
      <c r="D820" s="101">
        <v>270518</v>
      </c>
      <c r="E820" s="91"/>
      <c r="F820" s="91"/>
    </row>
    <row r="821" spans="2:6" ht="15.75">
      <c r="B821" s="89"/>
      <c r="C821" s="103" t="s">
        <v>801</v>
      </c>
      <c r="D821" s="101">
        <v>270519</v>
      </c>
      <c r="E821" s="91"/>
      <c r="F821" s="91"/>
    </row>
    <row r="822" spans="2:6" ht="15.75">
      <c r="B822" s="89"/>
      <c r="C822" s="103" t="s">
        <v>802</v>
      </c>
      <c r="D822" s="101">
        <v>270520</v>
      </c>
      <c r="E822" s="91"/>
      <c r="F822" s="91"/>
    </row>
    <row r="823" spans="2:6" ht="15.75">
      <c r="B823" s="89"/>
      <c r="C823" s="103" t="s">
        <v>803</v>
      </c>
      <c r="D823" s="101">
        <v>270530</v>
      </c>
      <c r="E823" s="91"/>
      <c r="F823" s="91"/>
    </row>
    <row r="824" spans="2:6" ht="15.75">
      <c r="B824" s="89"/>
      <c r="C824" s="103"/>
      <c r="D824" s="101"/>
      <c r="E824" s="91"/>
      <c r="F824" s="91"/>
    </row>
    <row r="825" spans="2:6" ht="15.75">
      <c r="B825" s="89"/>
      <c r="C825" s="105" t="s">
        <v>804</v>
      </c>
      <c r="D825" s="101"/>
      <c r="E825" s="91"/>
      <c r="F825" s="91"/>
    </row>
    <row r="826" spans="2:6" ht="15.75">
      <c r="B826" s="89"/>
      <c r="C826" s="103" t="s">
        <v>805</v>
      </c>
      <c r="D826" s="101">
        <v>270601</v>
      </c>
      <c r="E826" s="91"/>
      <c r="F826" s="91"/>
    </row>
    <row r="827" spans="2:6" ht="15.75">
      <c r="B827" s="89"/>
      <c r="C827" s="103" t="s">
        <v>806</v>
      </c>
      <c r="D827" s="101">
        <v>270602</v>
      </c>
      <c r="E827" s="91"/>
      <c r="F827" s="91"/>
    </row>
    <row r="828" spans="2:6" ht="15.75">
      <c r="B828" s="89"/>
      <c r="C828" s="103" t="s">
        <v>807</v>
      </c>
      <c r="D828" s="101">
        <v>270603</v>
      </c>
      <c r="E828" s="91"/>
      <c r="F828" s="91"/>
    </row>
    <row r="829" spans="2:6" ht="15.75">
      <c r="B829" s="89"/>
      <c r="C829" s="103" t="s">
        <v>808</v>
      </c>
      <c r="D829" s="101">
        <v>270604</v>
      </c>
      <c r="E829" s="91"/>
      <c r="F829" s="91"/>
    </row>
    <row r="830" spans="2:6" ht="15.75">
      <c r="B830" s="89"/>
      <c r="C830" s="103" t="s">
        <v>809</v>
      </c>
      <c r="D830" s="101">
        <v>270605</v>
      </c>
      <c r="E830" s="91"/>
      <c r="F830" s="91"/>
    </row>
    <row r="831" spans="2:6" ht="15.75">
      <c r="B831" s="89"/>
      <c r="C831" s="103" t="s">
        <v>810</v>
      </c>
      <c r="D831" s="101">
        <v>270606</v>
      </c>
      <c r="E831" s="91"/>
      <c r="F831" s="91"/>
    </row>
    <row r="832" spans="2:6" ht="15.75">
      <c r="B832" s="89"/>
      <c r="C832" s="103" t="s">
        <v>811</v>
      </c>
      <c r="D832" s="101">
        <v>270607</v>
      </c>
      <c r="E832" s="91"/>
      <c r="F832" s="91"/>
    </row>
    <row r="833" spans="2:6" ht="15.75">
      <c r="B833" s="89"/>
      <c r="C833" s="103" t="s">
        <v>812</v>
      </c>
      <c r="D833" s="101">
        <v>270608</v>
      </c>
      <c r="E833" s="91"/>
      <c r="F833" s="91"/>
    </row>
    <row r="834" spans="2:6" ht="15.75">
      <c r="B834" s="89"/>
      <c r="C834" s="103" t="s">
        <v>813</v>
      </c>
      <c r="D834" s="101">
        <v>270609</v>
      </c>
      <c r="E834" s="91"/>
      <c r="F834" s="91"/>
    </row>
    <row r="835" spans="2:6" ht="15.75">
      <c r="B835" s="89"/>
      <c r="C835" s="103" t="s">
        <v>814</v>
      </c>
      <c r="D835" s="101">
        <v>270610</v>
      </c>
      <c r="E835" s="91"/>
      <c r="F835" s="91"/>
    </row>
    <row r="836" spans="2:6" ht="15.75">
      <c r="B836" s="89"/>
      <c r="C836" s="103" t="s">
        <v>815</v>
      </c>
      <c r="D836" s="101">
        <v>270611</v>
      </c>
      <c r="E836" s="91"/>
      <c r="F836" s="91"/>
    </row>
    <row r="837" spans="2:6" ht="15.75">
      <c r="B837" s="89"/>
      <c r="C837" s="103" t="s">
        <v>816</v>
      </c>
      <c r="D837" s="101">
        <v>270612</v>
      </c>
      <c r="E837" s="91"/>
      <c r="F837" s="91"/>
    </row>
    <row r="838" spans="2:6" ht="15.75">
      <c r="B838" s="89"/>
      <c r="C838" s="103" t="s">
        <v>817</v>
      </c>
      <c r="D838" s="101">
        <v>270613</v>
      </c>
      <c r="E838" s="91"/>
      <c r="F838" s="91"/>
    </row>
    <row r="839" spans="2:6" ht="15.75">
      <c r="B839" s="89"/>
      <c r="C839" s="103" t="s">
        <v>818</v>
      </c>
      <c r="D839" s="101">
        <v>270614</v>
      </c>
      <c r="E839" s="91"/>
      <c r="F839" s="91"/>
    </row>
    <row r="840" spans="2:6" ht="15.75">
      <c r="B840" s="89"/>
      <c r="C840" s="103" t="s">
        <v>819</v>
      </c>
      <c r="D840" s="101">
        <v>270615</v>
      </c>
      <c r="E840" s="91"/>
      <c r="F840" s="91"/>
    </row>
    <row r="841" spans="2:6" ht="15.75">
      <c r="B841" s="89"/>
      <c r="C841" s="103" t="s">
        <v>820</v>
      </c>
      <c r="D841" s="101">
        <v>270616</v>
      </c>
      <c r="E841" s="91"/>
      <c r="F841" s="91"/>
    </row>
    <row r="842" spans="2:6" ht="15.75">
      <c r="B842" s="89"/>
      <c r="C842" s="103" t="s">
        <v>821</v>
      </c>
      <c r="D842" s="101">
        <v>270617</v>
      </c>
      <c r="E842" s="91"/>
      <c r="F842" s="91"/>
    </row>
    <row r="843" spans="2:6" ht="15.75">
      <c r="B843" s="89"/>
      <c r="C843" s="103" t="s">
        <v>822</v>
      </c>
      <c r="D843" s="101">
        <v>270618</v>
      </c>
      <c r="E843" s="91"/>
      <c r="F843" s="91"/>
    </row>
    <row r="844" spans="2:6" ht="15.75">
      <c r="B844" s="89"/>
      <c r="C844" s="103" t="s">
        <v>823</v>
      </c>
      <c r="D844" s="101">
        <v>270619</v>
      </c>
      <c r="E844" s="91"/>
      <c r="F844" s="91"/>
    </row>
    <row r="845" spans="2:6" ht="15.75">
      <c r="B845" s="89"/>
      <c r="C845" s="103" t="s">
        <v>824</v>
      </c>
      <c r="D845" s="101">
        <v>270620</v>
      </c>
      <c r="E845" s="91"/>
      <c r="F845" s="91"/>
    </row>
    <row r="846" spans="2:6" ht="15.75">
      <c r="B846" s="89"/>
      <c r="C846" s="103" t="s">
        <v>825</v>
      </c>
      <c r="D846" s="101">
        <v>270621</v>
      </c>
      <c r="E846" s="91"/>
      <c r="F846" s="91"/>
    </row>
    <row r="847" spans="2:6" ht="15.75">
      <c r="B847" s="89"/>
      <c r="C847" s="103" t="s">
        <v>826</v>
      </c>
      <c r="D847" s="101">
        <v>270622</v>
      </c>
      <c r="E847" s="91"/>
      <c r="F847" s="91"/>
    </row>
    <row r="848" spans="2:6" ht="15.75">
      <c r="B848" s="89"/>
      <c r="C848" s="103" t="s">
        <v>827</v>
      </c>
      <c r="D848" s="101">
        <v>270623</v>
      </c>
      <c r="E848" s="91"/>
      <c r="F848" s="91"/>
    </row>
    <row r="849" spans="2:6" ht="15.75">
      <c r="B849" s="89"/>
      <c r="C849" s="103" t="s">
        <v>828</v>
      </c>
      <c r="D849" s="101">
        <v>270624</v>
      </c>
      <c r="E849" s="91"/>
      <c r="F849" s="91"/>
    </row>
    <row r="850" spans="2:6" ht="15.75">
      <c r="B850" s="89"/>
      <c r="C850" s="103" t="s">
        <v>829</v>
      </c>
      <c r="D850" s="101">
        <v>270625</v>
      </c>
      <c r="E850" s="91"/>
      <c r="F850" s="91"/>
    </row>
    <row r="851" spans="2:6" ht="15.75">
      <c r="B851" s="89"/>
      <c r="C851" s="103" t="s">
        <v>830</v>
      </c>
      <c r="D851" s="101">
        <v>270626</v>
      </c>
      <c r="E851" s="91"/>
      <c r="F851" s="91"/>
    </row>
    <row r="852" spans="2:6" ht="15.75">
      <c r="B852" s="89"/>
      <c r="C852" s="103" t="s">
        <v>831</v>
      </c>
      <c r="D852" s="101">
        <v>270627</v>
      </c>
      <c r="E852" s="91"/>
      <c r="F852" s="91"/>
    </row>
    <row r="853" spans="2:6" ht="15.75">
      <c r="B853" s="89"/>
      <c r="C853" s="103" t="s">
        <v>832</v>
      </c>
      <c r="D853" s="101">
        <v>270628</v>
      </c>
      <c r="E853" s="91"/>
      <c r="F853" s="91"/>
    </row>
    <row r="854" spans="2:6" ht="15.75">
      <c r="B854" s="89"/>
      <c r="C854" s="103"/>
      <c r="D854" s="101"/>
      <c r="E854" s="91"/>
      <c r="F854" s="91"/>
    </row>
    <row r="855" spans="2:6" ht="15.75">
      <c r="B855" s="89"/>
      <c r="C855" s="105" t="s">
        <v>833</v>
      </c>
      <c r="D855" s="101"/>
      <c r="E855" s="91"/>
      <c r="F855" s="91"/>
    </row>
    <row r="856" spans="2:6" ht="15.75">
      <c r="B856" s="89"/>
      <c r="C856" s="103" t="s">
        <v>834</v>
      </c>
      <c r="D856" s="101">
        <v>270701</v>
      </c>
      <c r="E856" s="91"/>
      <c r="F856" s="91"/>
    </row>
    <row r="857" spans="2:6" ht="15.75">
      <c r="B857" s="89"/>
      <c r="C857" s="103" t="s">
        <v>835</v>
      </c>
      <c r="D857" s="101">
        <v>270702</v>
      </c>
      <c r="E857" s="91"/>
      <c r="F857" s="91"/>
    </row>
    <row r="858" spans="2:6" ht="15.75">
      <c r="B858" s="89"/>
      <c r="C858" s="103" t="s">
        <v>836</v>
      </c>
      <c r="D858" s="101">
        <v>270703</v>
      </c>
      <c r="E858" s="91"/>
      <c r="F858" s="91"/>
    </row>
    <row r="859" spans="2:6" ht="15.75">
      <c r="B859" s="89"/>
      <c r="C859" s="103" t="s">
        <v>837</v>
      </c>
      <c r="D859" s="101">
        <v>270704</v>
      </c>
      <c r="E859" s="91"/>
      <c r="F859" s="91"/>
    </row>
    <row r="860" spans="2:6" ht="15.75">
      <c r="B860" s="89"/>
      <c r="C860" s="103" t="s">
        <v>838</v>
      </c>
      <c r="D860" s="101">
        <v>270705</v>
      </c>
      <c r="E860" s="91"/>
      <c r="F860" s="91"/>
    </row>
    <row r="861" spans="2:6" ht="15.75">
      <c r="B861" s="89"/>
      <c r="C861" s="103" t="s">
        <v>839</v>
      </c>
      <c r="D861" s="101">
        <v>270706</v>
      </c>
      <c r="E861" s="91"/>
      <c r="F861" s="91"/>
    </row>
    <row r="862" spans="2:6" ht="15.75">
      <c r="B862" s="89"/>
      <c r="C862" s="103" t="s">
        <v>840</v>
      </c>
      <c r="D862" s="101">
        <v>270707</v>
      </c>
      <c r="E862" s="91"/>
      <c r="F862" s="91"/>
    </row>
    <row r="863" spans="2:6" ht="15.75">
      <c r="B863" s="89"/>
      <c r="C863" s="103" t="s">
        <v>841</v>
      </c>
      <c r="D863" s="101">
        <v>270708</v>
      </c>
      <c r="E863" s="91"/>
      <c r="F863" s="91"/>
    </row>
    <row r="864" spans="2:6" ht="15.75">
      <c r="B864" s="89"/>
      <c r="C864" s="103" t="s">
        <v>842</v>
      </c>
      <c r="D864" s="101">
        <v>270709</v>
      </c>
      <c r="E864" s="91"/>
      <c r="F864" s="91"/>
    </row>
    <row r="865" spans="2:6" ht="15.75">
      <c r="B865" s="89"/>
      <c r="C865" s="103"/>
      <c r="D865" s="101"/>
      <c r="E865" s="91"/>
      <c r="F865" s="91"/>
    </row>
    <row r="866" spans="2:6" ht="15.75">
      <c r="B866" s="89"/>
      <c r="C866" s="105" t="s">
        <v>843</v>
      </c>
      <c r="D866" s="101"/>
      <c r="E866" s="91"/>
      <c r="F866" s="91"/>
    </row>
    <row r="867" spans="2:6" ht="15.75">
      <c r="B867" s="89"/>
      <c r="C867" s="103" t="s">
        <v>844</v>
      </c>
      <c r="D867" s="101">
        <v>270801</v>
      </c>
      <c r="E867" s="91"/>
      <c r="F867" s="91"/>
    </row>
    <row r="868" spans="2:6" ht="15.75">
      <c r="B868" s="89"/>
      <c r="C868" s="103" t="s">
        <v>845</v>
      </c>
      <c r="D868" s="101">
        <v>270802</v>
      </c>
      <c r="E868" s="91"/>
      <c r="F868" s="91"/>
    </row>
    <row r="869" spans="2:6" ht="15.75">
      <c r="B869" s="89"/>
      <c r="C869" s="103" t="s">
        <v>846</v>
      </c>
      <c r="D869" s="101">
        <v>270803</v>
      </c>
      <c r="E869" s="91"/>
      <c r="F869" s="91"/>
    </row>
    <row r="870" spans="2:6" ht="15.75">
      <c r="B870" s="89"/>
      <c r="C870" s="103" t="s">
        <v>847</v>
      </c>
      <c r="D870" s="101">
        <v>270804</v>
      </c>
      <c r="E870" s="91"/>
      <c r="F870" s="91"/>
    </row>
    <row r="871" spans="2:6" ht="15.75">
      <c r="B871" s="89"/>
      <c r="C871" s="103" t="s">
        <v>848</v>
      </c>
      <c r="D871" s="101">
        <v>270805</v>
      </c>
      <c r="E871" s="91"/>
      <c r="F871" s="91"/>
    </row>
    <row r="872" spans="2:6" ht="15.75">
      <c r="B872" s="89"/>
      <c r="C872" s="103" t="s">
        <v>849</v>
      </c>
      <c r="D872" s="101">
        <v>270806</v>
      </c>
      <c r="E872" s="91"/>
      <c r="F872" s="91"/>
    </row>
    <row r="873" spans="2:6" ht="15.75">
      <c r="B873" s="89"/>
      <c r="C873" s="103" t="s">
        <v>850</v>
      </c>
      <c r="D873" s="101">
        <v>270807</v>
      </c>
      <c r="E873" s="91"/>
      <c r="F873" s="91"/>
    </row>
    <row r="874" spans="2:6" ht="15.75">
      <c r="B874" s="89"/>
      <c r="C874" s="103" t="s">
        <v>851</v>
      </c>
      <c r="D874" s="101">
        <v>270808</v>
      </c>
      <c r="E874" s="91"/>
      <c r="F874" s="91"/>
    </row>
    <row r="875" spans="2:6" ht="15.75">
      <c r="B875" s="89"/>
      <c r="C875" s="103" t="s">
        <v>852</v>
      </c>
      <c r="D875" s="101">
        <v>270809</v>
      </c>
      <c r="E875" s="91"/>
      <c r="F875" s="91"/>
    </row>
    <row r="876" spans="2:6" ht="15.75">
      <c r="B876" s="89"/>
      <c r="C876" s="103" t="s">
        <v>853</v>
      </c>
      <c r="D876" s="101">
        <v>270810</v>
      </c>
      <c r="E876" s="91"/>
      <c r="F876" s="91"/>
    </row>
    <row r="877" spans="2:6" ht="15.75">
      <c r="B877" s="89"/>
      <c r="C877" s="103" t="s">
        <v>854</v>
      </c>
      <c r="D877" s="101">
        <v>270811</v>
      </c>
      <c r="E877" s="91"/>
      <c r="F877" s="91"/>
    </row>
    <row r="878" spans="2:6" ht="15.75">
      <c r="B878" s="89"/>
      <c r="C878" s="103" t="s">
        <v>855</v>
      </c>
      <c r="D878" s="101">
        <v>270812</v>
      </c>
      <c r="E878" s="91"/>
      <c r="F878" s="91"/>
    </row>
    <row r="879" spans="2:6" ht="15.75">
      <c r="B879" s="89"/>
      <c r="C879" s="103" t="s">
        <v>856</v>
      </c>
      <c r="D879" s="101">
        <v>270813</v>
      </c>
      <c r="E879" s="91"/>
      <c r="F879" s="91"/>
    </row>
    <row r="880" spans="2:6" ht="15.75">
      <c r="B880" s="89"/>
      <c r="C880" s="103" t="s">
        <v>857</v>
      </c>
      <c r="D880" s="101">
        <v>270814</v>
      </c>
      <c r="E880" s="91"/>
      <c r="F880" s="91"/>
    </row>
    <row r="881" spans="2:6" ht="15.75">
      <c r="B881" s="89"/>
      <c r="C881" s="103" t="s">
        <v>858</v>
      </c>
      <c r="D881" s="101">
        <v>270815</v>
      </c>
      <c r="E881" s="91"/>
      <c r="F881" s="91"/>
    </row>
    <row r="882" spans="2:6" ht="15.75">
      <c r="B882" s="89"/>
      <c r="C882" s="103" t="s">
        <v>859</v>
      </c>
      <c r="D882" s="101">
        <v>270816</v>
      </c>
      <c r="E882" s="91"/>
      <c r="F882" s="91"/>
    </row>
    <row r="883" spans="2:6" ht="15.75">
      <c r="B883" s="89"/>
      <c r="C883" s="103" t="s">
        <v>860</v>
      </c>
      <c r="D883" s="101">
        <v>270817</v>
      </c>
      <c r="E883" s="91"/>
      <c r="F883" s="91"/>
    </row>
    <row r="884" spans="2:6" ht="15.75">
      <c r="B884" s="89"/>
      <c r="C884" s="103" t="s">
        <v>861</v>
      </c>
      <c r="D884" s="101">
        <v>270818</v>
      </c>
      <c r="E884" s="91"/>
      <c r="F884" s="91"/>
    </row>
    <row r="885" spans="2:6" ht="15.75">
      <c r="B885" s="89"/>
      <c r="C885" s="103" t="s">
        <v>862</v>
      </c>
      <c r="D885" s="101">
        <v>270819</v>
      </c>
      <c r="E885" s="91"/>
      <c r="F885" s="91"/>
    </row>
    <row r="886" spans="2:6" ht="15.75">
      <c r="B886" s="89"/>
      <c r="C886" s="103" t="s">
        <v>863</v>
      </c>
      <c r="D886" s="101">
        <v>270820</v>
      </c>
      <c r="E886" s="91"/>
      <c r="F886" s="91"/>
    </row>
    <row r="887" spans="2:6" ht="15.75">
      <c r="B887" s="89"/>
      <c r="C887" s="103" t="s">
        <v>864</v>
      </c>
      <c r="D887" s="101">
        <v>270821</v>
      </c>
      <c r="E887" s="91"/>
      <c r="F887" s="91"/>
    </row>
    <row r="888" spans="2:6" ht="15.75">
      <c r="B888" s="89"/>
      <c r="C888" s="103" t="s">
        <v>865</v>
      </c>
      <c r="D888" s="101">
        <v>270822</v>
      </c>
      <c r="E888" s="91"/>
      <c r="F888" s="91"/>
    </row>
    <row r="889" spans="2:6" ht="15.75">
      <c r="B889" s="89"/>
      <c r="C889" s="103" t="s">
        <v>866</v>
      </c>
      <c r="D889" s="101">
        <v>270823</v>
      </c>
      <c r="E889" s="91"/>
      <c r="F889" s="91"/>
    </row>
    <row r="890" spans="2:6" ht="15.75">
      <c r="B890" s="89"/>
      <c r="C890" s="103" t="s">
        <v>867</v>
      </c>
      <c r="D890" s="101">
        <v>270824</v>
      </c>
      <c r="E890" s="91"/>
      <c r="F890" s="91"/>
    </row>
    <row r="891" spans="2:6" ht="15.75">
      <c r="B891" s="89"/>
      <c r="C891" s="103" t="s">
        <v>868</v>
      </c>
      <c r="D891" s="101">
        <v>270825</v>
      </c>
      <c r="E891" s="91"/>
      <c r="F891" s="91"/>
    </row>
    <row r="892" spans="2:6" ht="15.75">
      <c r="B892" s="89"/>
      <c r="C892" s="103" t="s">
        <v>869</v>
      </c>
      <c r="D892" s="101">
        <v>270826</v>
      </c>
      <c r="E892" s="91"/>
      <c r="F892" s="91"/>
    </row>
    <row r="893" spans="2:6" ht="15.75">
      <c r="B893" s="89"/>
      <c r="C893" s="103" t="s">
        <v>870</v>
      </c>
      <c r="D893" s="101">
        <v>270827</v>
      </c>
      <c r="E893" s="91"/>
      <c r="F893" s="91"/>
    </row>
    <row r="894" spans="2:6" ht="15.75">
      <c r="B894" s="89"/>
      <c r="C894" s="103" t="s">
        <v>871</v>
      </c>
      <c r="D894" s="101">
        <v>270828</v>
      </c>
      <c r="E894" s="91"/>
      <c r="F894" s="91"/>
    </row>
    <row r="895" spans="2:6" ht="15.75">
      <c r="B895" s="89"/>
      <c r="C895" s="103" t="s">
        <v>872</v>
      </c>
      <c r="D895" s="101">
        <v>270829</v>
      </c>
      <c r="E895" s="91"/>
      <c r="F895" s="91"/>
    </row>
    <row r="896" spans="2:6" ht="15.75">
      <c r="B896" s="89"/>
      <c r="C896" s="103" t="s">
        <v>873</v>
      </c>
      <c r="D896" s="101">
        <v>270830</v>
      </c>
      <c r="E896" s="91"/>
      <c r="F896" s="91"/>
    </row>
    <row r="897" spans="2:6" ht="15.75">
      <c r="B897" s="89"/>
      <c r="C897" s="103" t="s">
        <v>874</v>
      </c>
      <c r="D897" s="101">
        <v>270831</v>
      </c>
      <c r="E897" s="91"/>
      <c r="F897" s="91"/>
    </row>
    <row r="898" spans="2:6" ht="15.75">
      <c r="B898" s="89"/>
      <c r="C898" s="103" t="s">
        <v>875</v>
      </c>
      <c r="D898" s="101">
        <v>270832</v>
      </c>
      <c r="E898" s="91"/>
      <c r="F898" s="91"/>
    </row>
    <row r="899" spans="2:6" ht="15.75">
      <c r="B899" s="89"/>
      <c r="C899" s="103" t="s">
        <v>876</v>
      </c>
      <c r="D899" s="101">
        <v>270833</v>
      </c>
      <c r="E899" s="91"/>
      <c r="F899" s="91"/>
    </row>
    <row r="900" spans="2:6" ht="15.75">
      <c r="B900" s="89"/>
      <c r="C900" s="103" t="s">
        <v>877</v>
      </c>
      <c r="D900" s="101">
        <v>270834</v>
      </c>
      <c r="E900" s="91"/>
      <c r="F900" s="91"/>
    </row>
    <row r="901" spans="2:6" ht="15.75">
      <c r="B901" s="89"/>
      <c r="C901" s="103" t="s">
        <v>878</v>
      </c>
      <c r="D901" s="101">
        <v>270835</v>
      </c>
      <c r="E901" s="91"/>
      <c r="F901" s="91"/>
    </row>
    <row r="902" spans="2:6" ht="15.75">
      <c r="B902" s="89"/>
      <c r="C902" s="103" t="s">
        <v>879</v>
      </c>
      <c r="D902" s="101">
        <v>270836</v>
      </c>
      <c r="E902" s="91"/>
      <c r="F902" s="91"/>
    </row>
    <row r="903" spans="2:6" ht="15.75">
      <c r="B903" s="89"/>
      <c r="C903" s="103" t="s">
        <v>880</v>
      </c>
      <c r="D903" s="101">
        <v>270837</v>
      </c>
      <c r="E903" s="91"/>
      <c r="F903" s="91"/>
    </row>
    <row r="904" spans="2:6" ht="15.75">
      <c r="B904" s="89"/>
      <c r="C904" s="103" t="s">
        <v>881</v>
      </c>
      <c r="D904" s="101">
        <v>270838</v>
      </c>
      <c r="E904" s="91"/>
      <c r="F904" s="91"/>
    </row>
    <row r="905" spans="2:6" ht="15.75">
      <c r="B905" s="89"/>
      <c r="C905" s="103" t="s">
        <v>882</v>
      </c>
      <c r="D905" s="101">
        <v>270839</v>
      </c>
      <c r="E905" s="91"/>
      <c r="F905" s="91"/>
    </row>
    <row r="906" spans="2:6" ht="15.75">
      <c r="B906" s="89"/>
      <c r="C906" s="103" t="s">
        <v>883</v>
      </c>
      <c r="D906" s="101">
        <v>270840</v>
      </c>
      <c r="E906" s="91"/>
      <c r="F906" s="91"/>
    </row>
    <row r="907" spans="2:6" ht="15.75">
      <c r="B907" s="89"/>
      <c r="C907" s="103" t="s">
        <v>884</v>
      </c>
      <c r="D907" s="101">
        <v>270841</v>
      </c>
      <c r="E907" s="91"/>
      <c r="F907" s="91"/>
    </row>
    <row r="908" spans="2:6" ht="15.75">
      <c r="B908" s="89"/>
      <c r="C908" s="103" t="s">
        <v>885</v>
      </c>
      <c r="D908" s="101">
        <v>270842</v>
      </c>
      <c r="E908" s="91"/>
      <c r="F908" s="91"/>
    </row>
    <row r="909" spans="2:6" ht="15.75">
      <c r="B909" s="89"/>
      <c r="C909" s="103" t="s">
        <v>886</v>
      </c>
      <c r="D909" s="101">
        <v>270843</v>
      </c>
      <c r="E909" s="91"/>
      <c r="F909" s="91"/>
    </row>
    <row r="910" spans="2:6" ht="15.75">
      <c r="B910" s="89"/>
      <c r="C910" s="103" t="s">
        <v>887</v>
      </c>
      <c r="D910" s="101">
        <v>270844</v>
      </c>
      <c r="E910" s="91"/>
      <c r="F910" s="91"/>
    </row>
    <row r="911" spans="2:6" ht="15.75">
      <c r="B911" s="89"/>
      <c r="C911" s="103" t="s">
        <v>888</v>
      </c>
      <c r="D911" s="101">
        <v>270845</v>
      </c>
      <c r="E911" s="91"/>
      <c r="F911" s="91"/>
    </row>
    <row r="912" spans="2:6" ht="15.75">
      <c r="B912" s="89"/>
      <c r="C912" s="103" t="s">
        <v>889</v>
      </c>
      <c r="D912" s="101">
        <v>270846</v>
      </c>
      <c r="E912" s="91"/>
      <c r="F912" s="91"/>
    </row>
    <row r="913" spans="2:6" ht="15.75">
      <c r="B913" s="89"/>
      <c r="C913" s="103" t="s">
        <v>890</v>
      </c>
      <c r="D913" s="101">
        <v>270847</v>
      </c>
      <c r="E913" s="91"/>
      <c r="F913" s="91"/>
    </row>
    <row r="914" spans="2:6" ht="15.75">
      <c r="B914" s="89"/>
      <c r="C914" s="103" t="s">
        <v>891</v>
      </c>
      <c r="D914" s="101">
        <v>270848</v>
      </c>
      <c r="E914" s="91"/>
      <c r="F914" s="91"/>
    </row>
    <row r="915" spans="2:6" ht="15.75">
      <c r="B915" s="89"/>
      <c r="C915" s="103"/>
      <c r="D915" s="101"/>
      <c r="E915" s="91"/>
      <c r="F915" s="91"/>
    </row>
    <row r="916" spans="2:6" ht="15.75">
      <c r="B916" s="89"/>
      <c r="C916" s="105" t="s">
        <v>892</v>
      </c>
      <c r="D916" s="101"/>
      <c r="E916" s="91"/>
      <c r="F916" s="91"/>
    </row>
    <row r="917" spans="2:6" ht="15.75">
      <c r="B917" s="89"/>
      <c r="C917" s="103" t="s">
        <v>893</v>
      </c>
      <c r="D917" s="101">
        <v>270901</v>
      </c>
      <c r="E917" s="91"/>
      <c r="F917" s="91"/>
    </row>
    <row r="918" spans="2:6" ht="15.75">
      <c r="B918" s="89"/>
      <c r="C918" s="103" t="s">
        <v>894</v>
      </c>
      <c r="D918" s="101">
        <v>270902</v>
      </c>
      <c r="E918" s="91"/>
      <c r="F918" s="91"/>
    </row>
    <row r="919" spans="2:6" ht="15.75">
      <c r="B919" s="89"/>
      <c r="C919" s="103" t="s">
        <v>895</v>
      </c>
      <c r="D919" s="101">
        <v>270903</v>
      </c>
      <c r="E919" s="91"/>
      <c r="F919" s="91"/>
    </row>
    <row r="920" spans="2:6" ht="15.75">
      <c r="B920" s="89"/>
      <c r="C920" s="103" t="s">
        <v>896</v>
      </c>
      <c r="D920" s="101">
        <v>270904</v>
      </c>
      <c r="E920" s="91"/>
      <c r="F920" s="91"/>
    </row>
    <row r="921" spans="2:6" ht="15.75">
      <c r="B921" s="89"/>
      <c r="C921" s="103" t="s">
        <v>897</v>
      </c>
      <c r="D921" s="101">
        <v>270905</v>
      </c>
      <c r="E921" s="91"/>
      <c r="F921" s="91"/>
    </row>
    <row r="922" spans="2:6" ht="15.75">
      <c r="B922" s="89"/>
      <c r="C922" s="103" t="s">
        <v>898</v>
      </c>
      <c r="D922" s="101">
        <v>270906</v>
      </c>
      <c r="E922" s="91"/>
      <c r="F922" s="91"/>
    </row>
    <row r="923" spans="2:6" ht="15.75">
      <c r="B923" s="89"/>
      <c r="C923" s="103" t="s">
        <v>899</v>
      </c>
      <c r="D923" s="101">
        <v>270907</v>
      </c>
      <c r="E923" s="91"/>
      <c r="F923" s="91"/>
    </row>
    <row r="924" spans="2:6" ht="15.75">
      <c r="B924" s="89"/>
      <c r="C924" s="103" t="s">
        <v>900</v>
      </c>
      <c r="D924" s="101">
        <v>270908</v>
      </c>
      <c r="E924" s="91"/>
      <c r="F924" s="91"/>
    </row>
    <row r="925" spans="2:6" ht="15.75">
      <c r="B925" s="89"/>
      <c r="C925" s="103" t="s">
        <v>901</v>
      </c>
      <c r="D925" s="101">
        <v>270909</v>
      </c>
      <c r="E925" s="91"/>
      <c r="F925" s="91"/>
    </row>
    <row r="926" spans="2:6" ht="15.75">
      <c r="B926" s="89"/>
      <c r="C926" s="103" t="s">
        <v>902</v>
      </c>
      <c r="D926" s="101">
        <v>270910</v>
      </c>
      <c r="E926" s="91"/>
      <c r="F926" s="91"/>
    </row>
    <row r="927" spans="2:6" ht="15.75">
      <c r="B927" s="89"/>
      <c r="C927" s="103" t="s">
        <v>903</v>
      </c>
      <c r="D927" s="101">
        <v>270911</v>
      </c>
      <c r="E927" s="91"/>
      <c r="F927" s="91"/>
    </row>
    <row r="928" spans="2:6" ht="15.75">
      <c r="B928" s="89"/>
      <c r="C928" s="103" t="s">
        <v>904</v>
      </c>
      <c r="D928" s="101">
        <v>270912</v>
      </c>
      <c r="E928" s="91"/>
      <c r="F928" s="91"/>
    </row>
    <row r="929" spans="2:6" ht="15.75">
      <c r="B929" s="89"/>
      <c r="C929" s="103" t="s">
        <v>905</v>
      </c>
      <c r="D929" s="101">
        <v>270913</v>
      </c>
      <c r="E929" s="91"/>
      <c r="F929" s="91"/>
    </row>
    <row r="930" spans="2:6" ht="15.75">
      <c r="B930" s="89"/>
      <c r="C930" s="103" t="s">
        <v>906</v>
      </c>
      <c r="D930" s="101">
        <v>270914</v>
      </c>
      <c r="E930" s="91"/>
      <c r="F930" s="91"/>
    </row>
    <row r="931" spans="2:6" ht="15.75">
      <c r="B931" s="89"/>
      <c r="C931" s="103" t="s">
        <v>907</v>
      </c>
      <c r="D931" s="101">
        <v>270915</v>
      </c>
      <c r="E931" s="91"/>
      <c r="F931" s="91"/>
    </row>
    <row r="932" spans="2:6" ht="15.75">
      <c r="B932" s="89"/>
      <c r="C932" s="103"/>
      <c r="D932" s="101"/>
      <c r="E932" s="91"/>
      <c r="F932" s="91"/>
    </row>
    <row r="933" spans="2:6" ht="15.75">
      <c r="B933" s="89"/>
      <c r="C933" s="105" t="s">
        <v>908</v>
      </c>
      <c r="D933" s="101"/>
      <c r="E933" s="91"/>
      <c r="F933" s="91"/>
    </row>
    <row r="934" spans="2:6" ht="15.75">
      <c r="B934" s="89"/>
      <c r="C934" s="103" t="s">
        <v>909</v>
      </c>
      <c r="D934" s="101">
        <v>271101</v>
      </c>
      <c r="E934" s="91"/>
      <c r="F934" s="91"/>
    </row>
    <row r="935" spans="2:6" ht="15.75">
      <c r="B935" s="89"/>
      <c r="C935" s="103" t="s">
        <v>910</v>
      </c>
      <c r="D935" s="101">
        <v>271102</v>
      </c>
      <c r="E935" s="91"/>
      <c r="F935" s="91"/>
    </row>
    <row r="936" spans="2:6" ht="15.75">
      <c r="B936" s="89"/>
      <c r="C936" s="103" t="s">
        <v>911</v>
      </c>
      <c r="D936" s="101">
        <v>271103</v>
      </c>
      <c r="E936" s="91"/>
      <c r="F936" s="91"/>
    </row>
    <row r="937" spans="2:6" ht="15.75">
      <c r="B937" s="89"/>
      <c r="C937" s="103" t="s">
        <v>912</v>
      </c>
      <c r="D937" s="101">
        <v>271104</v>
      </c>
      <c r="E937" s="91"/>
      <c r="F937" s="91"/>
    </row>
    <row r="938" spans="2:6" ht="15.75">
      <c r="B938" s="89"/>
      <c r="C938" s="103" t="s">
        <v>913</v>
      </c>
      <c r="D938" s="101">
        <v>271105</v>
      </c>
      <c r="E938" s="91"/>
      <c r="F938" s="91"/>
    </row>
    <row r="939" spans="2:6" ht="15.75">
      <c r="B939" s="89"/>
      <c r="C939" s="103" t="s">
        <v>914</v>
      </c>
      <c r="D939" s="101">
        <v>271106</v>
      </c>
      <c r="E939" s="91"/>
      <c r="F939" s="91"/>
    </row>
    <row r="940" spans="2:6" ht="15.75">
      <c r="B940" s="89"/>
      <c r="C940" s="103" t="s">
        <v>915</v>
      </c>
      <c r="D940" s="101">
        <v>271107</v>
      </c>
      <c r="E940" s="91"/>
      <c r="F940" s="91"/>
    </row>
    <row r="941" spans="2:6" ht="15.75">
      <c r="B941" s="89"/>
      <c r="C941" s="103" t="s">
        <v>916</v>
      </c>
      <c r="D941" s="101">
        <v>271108</v>
      </c>
      <c r="E941" s="91"/>
      <c r="F941" s="91"/>
    </row>
    <row r="942" spans="2:6" ht="15.75">
      <c r="B942" s="89"/>
      <c r="C942" s="103" t="s">
        <v>917</v>
      </c>
      <c r="D942" s="101">
        <v>271109</v>
      </c>
      <c r="E942" s="91"/>
      <c r="F942" s="91"/>
    </row>
    <row r="943" spans="2:6" ht="15.75">
      <c r="B943" s="89"/>
      <c r="C943" s="103" t="s">
        <v>918</v>
      </c>
      <c r="D943" s="101">
        <v>271110</v>
      </c>
      <c r="E943" s="91"/>
      <c r="F943" s="91"/>
    </row>
    <row r="944" spans="2:6" ht="15.75">
      <c r="B944" s="89"/>
      <c r="C944" s="103" t="s">
        <v>919</v>
      </c>
      <c r="D944" s="101">
        <v>271111</v>
      </c>
      <c r="E944" s="91"/>
      <c r="F944" s="91"/>
    </row>
    <row r="945" spans="2:6" ht="15.75">
      <c r="B945" s="89"/>
      <c r="C945" s="103"/>
      <c r="D945" s="101"/>
      <c r="E945" s="91"/>
      <c r="F945" s="91"/>
    </row>
    <row r="946" spans="2:6" ht="15.75">
      <c r="B946" s="89"/>
      <c r="C946" s="105" t="s">
        <v>920</v>
      </c>
      <c r="D946" s="101"/>
      <c r="E946" s="91"/>
      <c r="F946" s="91"/>
    </row>
    <row r="947" spans="2:6" ht="15.75">
      <c r="B947" s="89"/>
      <c r="C947" s="103" t="s">
        <v>921</v>
      </c>
      <c r="D947" s="101">
        <v>271201</v>
      </c>
      <c r="E947" s="91"/>
      <c r="F947" s="91"/>
    </row>
    <row r="948" spans="2:6" ht="15.75">
      <c r="B948" s="89"/>
      <c r="C948" s="103" t="s">
        <v>922</v>
      </c>
      <c r="D948" s="101">
        <v>271202</v>
      </c>
      <c r="E948" s="91"/>
      <c r="F948" s="91"/>
    </row>
    <row r="949" spans="2:6" ht="15.75">
      <c r="B949" s="89"/>
      <c r="C949" s="103" t="s">
        <v>923</v>
      </c>
      <c r="D949" s="108">
        <v>271203</v>
      </c>
      <c r="E949" s="91"/>
      <c r="F949" s="91"/>
    </row>
    <row r="950" spans="2:6" ht="15.75">
      <c r="B950" s="89"/>
      <c r="C950" s="103" t="s">
        <v>873</v>
      </c>
      <c r="D950" s="108">
        <v>271204</v>
      </c>
      <c r="E950" s="91"/>
      <c r="F950" s="91"/>
    </row>
    <row r="951" spans="2:6" ht="15.75">
      <c r="B951" s="89"/>
      <c r="C951" s="103" t="s">
        <v>924</v>
      </c>
      <c r="D951" s="108">
        <v>271205</v>
      </c>
      <c r="E951" s="91"/>
      <c r="F951" s="91"/>
    </row>
    <row r="952" spans="2:6" ht="15.75">
      <c r="B952" s="89"/>
      <c r="C952" s="103"/>
      <c r="D952" s="108"/>
      <c r="E952" s="91"/>
      <c r="F952" s="91"/>
    </row>
    <row r="953" spans="2:6" ht="15.75">
      <c r="B953" s="89"/>
      <c r="C953" s="105" t="s">
        <v>925</v>
      </c>
      <c r="D953" s="108"/>
      <c r="E953" s="91"/>
      <c r="F953" s="91"/>
    </row>
    <row r="954" spans="2:6" ht="15.75">
      <c r="B954" s="89"/>
      <c r="C954" s="103" t="s">
        <v>926</v>
      </c>
      <c r="D954" s="101">
        <v>271301</v>
      </c>
      <c r="E954" s="91"/>
      <c r="F954" s="91"/>
    </row>
    <row r="955" spans="2:6" ht="15.75">
      <c r="B955" s="89"/>
      <c r="C955" s="103" t="s">
        <v>625</v>
      </c>
      <c r="D955" s="101">
        <v>271302</v>
      </c>
      <c r="E955" s="91"/>
      <c r="F955" s="91"/>
    </row>
    <row r="956" spans="2:6" ht="15.75">
      <c r="B956" s="89"/>
      <c r="C956" s="103"/>
      <c r="D956" s="101"/>
      <c r="E956" s="91"/>
      <c r="F956" s="91"/>
    </row>
    <row r="957" spans="2:6" ht="15.75">
      <c r="B957" s="89"/>
      <c r="C957" s="105" t="s">
        <v>927</v>
      </c>
      <c r="D957" s="101"/>
      <c r="E957" s="91"/>
      <c r="F957" s="91"/>
    </row>
    <row r="958" spans="2:6" ht="15.75">
      <c r="B958" s="89"/>
      <c r="C958" s="103" t="s">
        <v>928</v>
      </c>
      <c r="D958" s="101">
        <v>280101</v>
      </c>
      <c r="E958" s="91"/>
      <c r="F958" s="91"/>
    </row>
    <row r="959" spans="2:6" ht="15.75">
      <c r="B959" s="89"/>
      <c r="C959" s="103" t="s">
        <v>929</v>
      </c>
      <c r="D959" s="101">
        <v>280102</v>
      </c>
      <c r="E959" s="91"/>
      <c r="F959" s="91"/>
    </row>
    <row r="960" spans="2:6" ht="15.75">
      <c r="B960" s="89"/>
      <c r="C960" s="103" t="s">
        <v>930</v>
      </c>
      <c r="D960" s="101">
        <v>280103</v>
      </c>
      <c r="E960" s="91"/>
      <c r="F960" s="91"/>
    </row>
    <row r="961" spans="2:6" ht="15.75">
      <c r="B961" s="89"/>
      <c r="C961" s="103" t="s">
        <v>931</v>
      </c>
      <c r="D961" s="101">
        <v>280104</v>
      </c>
      <c r="E961" s="91"/>
      <c r="F961" s="91"/>
    </row>
    <row r="962" spans="2:6" ht="15.75">
      <c r="B962" s="89"/>
      <c r="C962" s="103" t="s">
        <v>932</v>
      </c>
      <c r="D962" s="101">
        <v>280105</v>
      </c>
      <c r="E962" s="91"/>
      <c r="F962" s="91"/>
    </row>
    <row r="963" spans="2:6" ht="15.75">
      <c r="B963" s="89"/>
      <c r="C963" s="103"/>
      <c r="D963" s="101"/>
      <c r="E963" s="91"/>
      <c r="F963" s="91"/>
    </row>
    <row r="964" spans="2:6" ht="15.75">
      <c r="B964" s="89"/>
      <c r="C964" s="105" t="s">
        <v>933</v>
      </c>
      <c r="D964" s="101"/>
      <c r="E964" s="91"/>
      <c r="F964" s="91"/>
    </row>
    <row r="965" spans="2:6" ht="15.75">
      <c r="B965" s="89"/>
      <c r="C965" s="103" t="s">
        <v>934</v>
      </c>
      <c r="D965" s="101">
        <v>280201</v>
      </c>
      <c r="E965" s="91"/>
      <c r="F965" s="91"/>
    </row>
    <row r="966" spans="2:6" ht="15.75">
      <c r="B966" s="89"/>
      <c r="C966" s="103" t="s">
        <v>935</v>
      </c>
      <c r="D966" s="101">
        <v>280202</v>
      </c>
      <c r="E966" s="91"/>
      <c r="F966" s="91"/>
    </row>
    <row r="967" spans="2:6" ht="15.75">
      <c r="B967" s="89"/>
      <c r="C967" s="103"/>
      <c r="D967" s="101"/>
      <c r="E967" s="91"/>
      <c r="F967" s="91"/>
    </row>
    <row r="968" spans="2:6" ht="15.75">
      <c r="B968" s="89"/>
      <c r="C968" s="105" t="s">
        <v>936</v>
      </c>
      <c r="D968" s="101"/>
      <c r="E968" s="91"/>
      <c r="F968" s="91"/>
    </row>
    <row r="969" spans="2:6" ht="15.75">
      <c r="B969" s="89"/>
      <c r="C969" s="103" t="s">
        <v>53</v>
      </c>
      <c r="D969" s="101">
        <v>280301</v>
      </c>
      <c r="E969" s="91"/>
      <c r="F969" s="91"/>
    </row>
    <row r="970" spans="2:6" ht="15.75">
      <c r="B970" s="89"/>
      <c r="C970" s="103" t="s">
        <v>937</v>
      </c>
      <c r="D970" s="101">
        <v>280302</v>
      </c>
      <c r="E970" s="91"/>
      <c r="F970" s="91"/>
    </row>
    <row r="971" spans="2:6" ht="15.75">
      <c r="B971" s="89"/>
      <c r="C971" s="103" t="s">
        <v>938</v>
      </c>
      <c r="D971" s="101">
        <v>280303</v>
      </c>
      <c r="E971" s="91"/>
      <c r="F971" s="91"/>
    </row>
    <row r="972" spans="2:6" ht="15.75">
      <c r="B972" s="89"/>
      <c r="C972" s="103"/>
      <c r="D972" s="101"/>
      <c r="E972" s="91"/>
      <c r="F972" s="91"/>
    </row>
    <row r="973" spans="2:6" ht="15.75">
      <c r="B973" s="89"/>
      <c r="C973" s="104" t="s">
        <v>933</v>
      </c>
      <c r="D973" s="101"/>
      <c r="E973" s="91"/>
      <c r="F973" s="91"/>
    </row>
    <row r="974" spans="2:6" ht="15.75">
      <c r="B974" s="89"/>
      <c r="C974" s="103" t="s">
        <v>939</v>
      </c>
      <c r="D974" s="101">
        <v>280401</v>
      </c>
      <c r="E974" s="91"/>
      <c r="F974" s="91"/>
    </row>
    <row r="975" spans="2:6" ht="15.75">
      <c r="B975" s="89"/>
      <c r="C975" s="103" t="s">
        <v>620</v>
      </c>
      <c r="D975" s="101">
        <v>280402</v>
      </c>
      <c r="E975" s="91"/>
      <c r="F975" s="91"/>
    </row>
    <row r="976" spans="2:6" ht="15.75">
      <c r="B976" s="89"/>
      <c r="C976" s="103" t="s">
        <v>940</v>
      </c>
      <c r="D976" s="101">
        <v>280403</v>
      </c>
      <c r="E976" s="91"/>
      <c r="F976" s="91"/>
    </row>
    <row r="977" spans="2:6" ht="15.75">
      <c r="B977" s="89"/>
      <c r="C977" s="103" t="s">
        <v>941</v>
      </c>
      <c r="D977" s="101">
        <v>280404</v>
      </c>
      <c r="E977" s="91"/>
      <c r="F977" s="91"/>
    </row>
    <row r="978" spans="2:6" ht="15.75">
      <c r="B978" s="89"/>
      <c r="C978" s="103" t="s">
        <v>942</v>
      </c>
      <c r="D978" s="101">
        <v>280405</v>
      </c>
      <c r="E978" s="91"/>
      <c r="F978" s="91"/>
    </row>
    <row r="979" spans="2:6" ht="15.75">
      <c r="B979" s="89"/>
      <c r="C979" s="103"/>
      <c r="D979" s="101"/>
      <c r="E979" s="91"/>
      <c r="F979" s="91"/>
    </row>
    <row r="980" spans="2:6" ht="15.75">
      <c r="B980" s="89"/>
      <c r="C980" s="105" t="s">
        <v>943</v>
      </c>
      <c r="D980" s="101"/>
      <c r="E980" s="91"/>
      <c r="F980" s="91"/>
    </row>
    <row r="981" spans="2:6" ht="15.75">
      <c r="B981" s="89"/>
      <c r="C981" s="103" t="s">
        <v>944</v>
      </c>
      <c r="D981" s="101">
        <v>280501</v>
      </c>
      <c r="E981" s="91"/>
      <c r="F981" s="91"/>
    </row>
    <row r="982" spans="2:6" ht="15.75">
      <c r="B982" s="89"/>
      <c r="C982" s="103" t="s">
        <v>945</v>
      </c>
      <c r="D982" s="101">
        <v>280502</v>
      </c>
      <c r="E982" s="91"/>
      <c r="F982" s="91"/>
    </row>
    <row r="983" spans="2:6" ht="15.75">
      <c r="B983" s="89"/>
      <c r="C983" s="103" t="s">
        <v>946</v>
      </c>
      <c r="D983" s="101">
        <v>280503</v>
      </c>
      <c r="E983" s="91"/>
      <c r="F983" s="91"/>
    </row>
    <row r="984" spans="2:6" ht="15.75">
      <c r="B984" s="89"/>
      <c r="C984" s="103" t="s">
        <v>947</v>
      </c>
      <c r="D984" s="101">
        <v>280504</v>
      </c>
      <c r="E984" s="91"/>
      <c r="F984" s="91"/>
    </row>
    <row r="985" spans="2:6" ht="15.75">
      <c r="B985" s="89"/>
      <c r="C985" s="103" t="s">
        <v>948</v>
      </c>
      <c r="D985" s="101">
        <v>280505</v>
      </c>
      <c r="E985" s="91"/>
      <c r="F985" s="91"/>
    </row>
    <row r="986" spans="2:6" ht="15.75">
      <c r="B986" s="89"/>
      <c r="C986" s="103" t="s">
        <v>949</v>
      </c>
      <c r="D986" s="101">
        <v>280506</v>
      </c>
      <c r="E986" s="91"/>
      <c r="F986" s="91"/>
    </row>
    <row r="987" spans="2:6" ht="15.75">
      <c r="B987" s="89"/>
      <c r="C987" s="103" t="s">
        <v>950</v>
      </c>
      <c r="D987" s="101">
        <v>280507</v>
      </c>
      <c r="E987" s="91"/>
      <c r="F987" s="91"/>
    </row>
    <row r="988" spans="2:6" ht="15.75">
      <c r="B988" s="89"/>
      <c r="C988" s="103"/>
      <c r="D988" s="101"/>
      <c r="E988" s="91"/>
      <c r="F988" s="91"/>
    </row>
    <row r="989" spans="2:6" ht="15.75">
      <c r="B989" s="89"/>
      <c r="C989" s="105" t="s">
        <v>951</v>
      </c>
      <c r="D989" s="101"/>
      <c r="E989" s="91"/>
      <c r="F989" s="91"/>
    </row>
    <row r="990" spans="2:6" ht="15.75">
      <c r="B990" s="89"/>
      <c r="C990" s="103" t="s">
        <v>952</v>
      </c>
      <c r="D990" s="101">
        <v>280601</v>
      </c>
      <c r="E990" s="91"/>
      <c r="F990" s="91"/>
    </row>
    <row r="991" spans="2:6" ht="15.75">
      <c r="B991" s="89"/>
      <c r="C991" s="103" t="s">
        <v>953</v>
      </c>
      <c r="D991" s="101">
        <v>280602</v>
      </c>
      <c r="E991" s="91"/>
      <c r="F991" s="91"/>
    </row>
    <row r="992" spans="2:6" ht="15.75">
      <c r="B992" s="89"/>
      <c r="C992" s="103" t="s">
        <v>954</v>
      </c>
      <c r="D992" s="101">
        <v>280603</v>
      </c>
      <c r="E992" s="91"/>
      <c r="F992" s="91"/>
    </row>
    <row r="993" spans="2:6" ht="15.75">
      <c r="B993" s="89"/>
      <c r="C993" s="103"/>
      <c r="D993" s="101"/>
      <c r="E993" s="91"/>
      <c r="F993" s="91"/>
    </row>
    <row r="994" spans="2:6" ht="15.75">
      <c r="B994" s="89"/>
      <c r="C994" s="105" t="s">
        <v>955</v>
      </c>
      <c r="D994" s="101"/>
      <c r="E994" s="91"/>
      <c r="F994" s="91"/>
    </row>
    <row r="995" spans="2:6" ht="15.75">
      <c r="B995" s="89"/>
      <c r="C995" s="103" t="s">
        <v>956</v>
      </c>
      <c r="D995" s="101">
        <v>290101</v>
      </c>
      <c r="E995" s="91"/>
      <c r="F995" s="91"/>
    </row>
    <row r="996" spans="2:6" ht="15.75">
      <c r="B996" s="89"/>
      <c r="C996" s="103" t="s">
        <v>957</v>
      </c>
      <c r="D996" s="101">
        <v>290102</v>
      </c>
      <c r="E996" s="91"/>
      <c r="F996" s="91"/>
    </row>
    <row r="997" spans="2:6" ht="15.75">
      <c r="B997" s="89"/>
      <c r="C997" s="103" t="s">
        <v>958</v>
      </c>
      <c r="D997" s="101">
        <v>290103</v>
      </c>
      <c r="E997" s="91"/>
      <c r="F997" s="91"/>
    </row>
    <row r="998" spans="2:6" ht="15.75">
      <c r="B998" s="89"/>
      <c r="C998" s="103"/>
      <c r="D998" s="101"/>
      <c r="E998" s="91"/>
      <c r="F998" s="91"/>
    </row>
    <row r="999" spans="2:6" ht="15.75">
      <c r="B999" s="89"/>
      <c r="C999" s="105" t="s">
        <v>959</v>
      </c>
      <c r="D999" s="101"/>
      <c r="E999" s="91"/>
      <c r="F999" s="91"/>
    </row>
    <row r="1000" spans="2:6" ht="15.75">
      <c r="B1000" s="89"/>
      <c r="C1000" s="103"/>
      <c r="D1000" s="101">
        <v>290201</v>
      </c>
      <c r="E1000" s="91"/>
      <c r="F1000" s="91"/>
    </row>
    <row r="1001" spans="2:6" ht="15.75">
      <c r="B1001" s="89"/>
      <c r="C1001" s="103" t="s">
        <v>53</v>
      </c>
      <c r="D1001" s="101">
        <v>290202</v>
      </c>
      <c r="E1001" s="91"/>
      <c r="F1001" s="91"/>
    </row>
    <row r="1002" spans="2:6" ht="15.75">
      <c r="B1002" s="89"/>
      <c r="C1002" s="103"/>
      <c r="D1002" s="101">
        <v>290301</v>
      </c>
      <c r="E1002" s="91"/>
      <c r="F1002" s="91"/>
    </row>
    <row r="1003" spans="2:6" ht="15.75">
      <c r="B1003" s="89"/>
      <c r="C1003" s="103"/>
      <c r="D1003" s="101">
        <v>290401</v>
      </c>
      <c r="E1003" s="91"/>
      <c r="F1003" s="91"/>
    </row>
    <row r="1004" spans="2:6" ht="15.75">
      <c r="B1004" s="87"/>
      <c r="C1004" s="103"/>
      <c r="D1004" s="101">
        <v>290402</v>
      </c>
      <c r="E1004" s="109"/>
      <c r="F1004" s="109"/>
    </row>
    <row r="1005" spans="2:6" ht="15.75">
      <c r="B1005" s="89"/>
      <c r="C1005" s="110" t="s">
        <v>960</v>
      </c>
      <c r="D1005" s="101"/>
      <c r="E1005" s="91"/>
      <c r="F1005" s="91"/>
    </row>
    <row r="1006" spans="2:6" ht="15.75">
      <c r="B1006" s="89"/>
      <c r="C1006" s="103"/>
      <c r="D1006" s="101"/>
      <c r="E1006" s="91"/>
      <c r="F1006" s="91"/>
    </row>
    <row r="1007" spans="2:6" ht="15.75">
      <c r="B1007" s="89"/>
      <c r="C1007" s="103" t="s">
        <v>961</v>
      </c>
      <c r="D1007" s="101">
        <v>290501</v>
      </c>
      <c r="E1007" s="91"/>
      <c r="F1007" s="91"/>
    </row>
    <row r="1008" spans="2:6" ht="15.75">
      <c r="B1008" s="89"/>
      <c r="C1008" s="103" t="s">
        <v>962</v>
      </c>
      <c r="D1008" s="101">
        <v>290502</v>
      </c>
      <c r="E1008" s="91"/>
      <c r="F1008" s="91"/>
    </row>
    <row r="1009" spans="2:6" ht="15.75">
      <c r="B1009" s="89"/>
      <c r="C1009" s="103" t="s">
        <v>963</v>
      </c>
      <c r="D1009" s="101">
        <v>290503</v>
      </c>
      <c r="E1009" s="91"/>
      <c r="F1009" s="91"/>
    </row>
    <row r="1010" spans="2:6" ht="15.75">
      <c r="B1010" s="89"/>
      <c r="C1010" s="103" t="s">
        <v>964</v>
      </c>
      <c r="D1010" s="101">
        <v>290504</v>
      </c>
      <c r="E1010" s="91"/>
      <c r="F1010" s="91"/>
    </row>
    <row r="1011" spans="2:6" ht="15.75">
      <c r="B1011" s="89"/>
      <c r="C1011" s="103"/>
      <c r="D1011" s="101"/>
      <c r="E1011" s="91"/>
      <c r="F1011" s="91"/>
    </row>
    <row r="1012" spans="2:6" ht="15.75">
      <c r="B1012" s="89"/>
      <c r="C1012" s="105" t="s">
        <v>965</v>
      </c>
      <c r="D1012" s="101"/>
      <c r="E1012" s="91"/>
      <c r="F1012" s="91"/>
    </row>
    <row r="1013" spans="2:6" ht="15.75">
      <c r="B1013" s="89"/>
      <c r="C1013" s="103" t="s">
        <v>966</v>
      </c>
      <c r="D1013" s="101">
        <v>290601</v>
      </c>
      <c r="E1013" s="91"/>
      <c r="F1013" s="91"/>
    </row>
    <row r="1014" spans="2:6" ht="15.75">
      <c r="B1014" s="89"/>
      <c r="C1014" s="103"/>
      <c r="D1014" s="101"/>
      <c r="E1014" s="91"/>
      <c r="F1014" s="91"/>
    </row>
    <row r="1015" spans="2:6" ht="15.75">
      <c r="B1015" s="89"/>
      <c r="C1015" s="110" t="s">
        <v>967</v>
      </c>
      <c r="D1015" s="101"/>
      <c r="E1015" s="91"/>
      <c r="F1015" s="91"/>
    </row>
    <row r="1016" spans="2:6" ht="15.75">
      <c r="B1016" s="89"/>
      <c r="C1016" s="103" t="s">
        <v>968</v>
      </c>
      <c r="D1016" s="101">
        <v>290701</v>
      </c>
      <c r="E1016" s="91"/>
      <c r="F1016" s="91"/>
    </row>
    <row r="1017" spans="2:6" ht="15.75">
      <c r="B1017" s="89"/>
      <c r="C1017" s="103" t="s">
        <v>969</v>
      </c>
      <c r="D1017" s="101">
        <v>290702</v>
      </c>
      <c r="E1017" s="91"/>
      <c r="F1017" s="91"/>
    </row>
    <row r="1018" spans="2:6" ht="15.75">
      <c r="B1018" s="89"/>
      <c r="C1018" s="103" t="s">
        <v>970</v>
      </c>
      <c r="D1018" s="101">
        <v>290703</v>
      </c>
      <c r="E1018" s="91"/>
      <c r="F1018" s="91"/>
    </row>
    <row r="1019" spans="2:6" ht="15.75">
      <c r="B1019" s="89"/>
      <c r="C1019" s="103" t="s">
        <v>971</v>
      </c>
      <c r="D1019" s="101">
        <v>290704</v>
      </c>
      <c r="E1019" s="91"/>
      <c r="F1019" s="91"/>
    </row>
    <row r="1020" spans="2:6" ht="15.75">
      <c r="B1020" s="89"/>
      <c r="C1020" s="103" t="s">
        <v>972</v>
      </c>
      <c r="D1020" s="101">
        <v>290705</v>
      </c>
      <c r="E1020" s="91"/>
      <c r="F1020" s="91"/>
    </row>
    <row r="1021" spans="2:6" ht="15.75">
      <c r="B1021" s="89"/>
      <c r="C1021" s="103"/>
      <c r="D1021" s="101"/>
      <c r="E1021" s="91"/>
      <c r="F1021" s="91"/>
    </row>
    <row r="1022" spans="2:6" ht="15.75">
      <c r="B1022" s="87">
        <v>24</v>
      </c>
      <c r="C1022" s="127" t="s">
        <v>973</v>
      </c>
      <c r="D1022" s="97"/>
      <c r="E1022" s="91"/>
      <c r="F1022" s="91"/>
    </row>
    <row r="1023" spans="2:6" ht="15.75">
      <c r="B1023" s="89"/>
      <c r="C1023" s="125" t="s">
        <v>974</v>
      </c>
      <c r="D1023" s="97">
        <v>690301</v>
      </c>
      <c r="E1023" s="91"/>
      <c r="F1023" s="91"/>
    </row>
    <row r="1024" spans="2:6" ht="15.75">
      <c r="B1024" s="89"/>
      <c r="C1024" s="128" t="s">
        <v>975</v>
      </c>
      <c r="D1024" s="97">
        <v>690302</v>
      </c>
      <c r="E1024" s="91"/>
      <c r="F1024" s="91"/>
    </row>
    <row r="1025" spans="2:6" ht="15.75">
      <c r="B1025" s="89"/>
      <c r="C1025" s="128" t="s">
        <v>976</v>
      </c>
      <c r="D1025" s="97">
        <v>690303</v>
      </c>
      <c r="E1025" s="91"/>
      <c r="F1025" s="91"/>
    </row>
    <row r="1026" spans="2:6" ht="15.75">
      <c r="B1026" s="89"/>
      <c r="C1026" s="128" t="s">
        <v>977</v>
      </c>
      <c r="D1026" s="97">
        <v>690304</v>
      </c>
      <c r="E1026" s="91"/>
      <c r="F1026" s="91"/>
    </row>
    <row r="1027" spans="2:6" ht="15.75">
      <c r="B1027" s="89"/>
      <c r="C1027" s="128" t="s">
        <v>978</v>
      </c>
      <c r="D1027" s="97">
        <v>690305</v>
      </c>
      <c r="E1027" s="91"/>
      <c r="F1027" s="91"/>
    </row>
    <row r="1028" spans="2:6" ht="15.75">
      <c r="B1028" s="89"/>
      <c r="C1028" s="128" t="s">
        <v>979</v>
      </c>
      <c r="D1028" s="97">
        <v>690306</v>
      </c>
      <c r="E1028" s="91"/>
      <c r="F1028" s="91"/>
    </row>
    <row r="1029" spans="2:6" ht="15.75">
      <c r="B1029" s="89"/>
      <c r="C1029" s="125" t="s">
        <v>980</v>
      </c>
      <c r="D1029" s="97" t="s">
        <v>981</v>
      </c>
      <c r="E1029" s="91"/>
      <c r="F1029" s="91"/>
    </row>
    <row r="1030" spans="2:6" ht="15.75">
      <c r="B1030" s="89"/>
      <c r="C1030" s="125"/>
      <c r="D1030" s="97"/>
      <c r="E1030" s="91"/>
      <c r="F1030" s="91"/>
    </row>
    <row r="1031" spans="2:6" ht="15.75">
      <c r="B1031" s="89"/>
      <c r="C1031" s="103"/>
      <c r="D1031" s="101"/>
      <c r="E1031" s="91"/>
      <c r="F1031" s="91"/>
    </row>
    <row r="1032" spans="2:6" ht="15.75">
      <c r="B1032" s="87">
        <v>25</v>
      </c>
      <c r="C1032" s="104" t="s">
        <v>982</v>
      </c>
      <c r="D1032" s="101"/>
      <c r="E1032" s="91"/>
      <c r="F1032" s="91"/>
    </row>
    <row r="1033" spans="2:6" ht="15.75">
      <c r="B1033" s="89"/>
      <c r="C1033" s="111" t="s">
        <v>983</v>
      </c>
      <c r="D1033" s="97">
        <v>610101</v>
      </c>
      <c r="E1033" s="91"/>
      <c r="F1033" s="91"/>
    </row>
    <row r="1034" spans="2:6" ht="15.75">
      <c r="B1034" s="89"/>
      <c r="C1034" s="103" t="s">
        <v>984</v>
      </c>
      <c r="D1034" s="97">
        <v>610102</v>
      </c>
      <c r="E1034" s="91"/>
      <c r="F1034" s="91"/>
    </row>
    <row r="1035" spans="2:6" ht="15.75">
      <c r="B1035" s="89"/>
      <c r="C1035" s="103" t="s">
        <v>985</v>
      </c>
      <c r="D1035" s="97">
        <v>610103</v>
      </c>
      <c r="E1035" s="91"/>
      <c r="F1035" s="91"/>
    </row>
    <row r="1036" spans="2:6" ht="15.75">
      <c r="B1036" s="89"/>
      <c r="C1036" s="103" t="s">
        <v>986</v>
      </c>
      <c r="D1036" s="97">
        <v>610104</v>
      </c>
      <c r="E1036" s="91"/>
      <c r="F1036" s="91"/>
    </row>
    <row r="1037" spans="2:6" ht="15.75">
      <c r="B1037" s="87"/>
      <c r="C1037" s="103" t="s">
        <v>987</v>
      </c>
      <c r="D1037" s="97">
        <v>610105</v>
      </c>
      <c r="E1037" s="91"/>
      <c r="F1037" s="91"/>
    </row>
    <row r="1038" spans="2:6" ht="15.75">
      <c r="B1038" s="89"/>
      <c r="C1038" s="103" t="s">
        <v>988</v>
      </c>
      <c r="D1038" s="97">
        <v>610106</v>
      </c>
      <c r="E1038" s="91"/>
      <c r="F1038" s="91"/>
    </row>
    <row r="1039" spans="2:6" ht="15.75">
      <c r="B1039" s="89"/>
      <c r="C1039" s="103" t="s">
        <v>989</v>
      </c>
      <c r="D1039" s="97">
        <v>610107</v>
      </c>
      <c r="E1039" s="91"/>
      <c r="F1039" s="91"/>
    </row>
    <row r="1040" spans="2:6" ht="15.75">
      <c r="B1040" s="89"/>
      <c r="C1040" s="103" t="s">
        <v>990</v>
      </c>
      <c r="D1040" s="97">
        <v>610108</v>
      </c>
      <c r="E1040" s="91"/>
      <c r="F1040" s="91"/>
    </row>
    <row r="1041" spans="2:6" ht="15.75">
      <c r="B1041" s="89"/>
      <c r="C1041" s="103" t="s">
        <v>991</v>
      </c>
      <c r="D1041" s="97">
        <v>610109</v>
      </c>
      <c r="E1041" s="91"/>
      <c r="F1041" s="91"/>
    </row>
    <row r="1042" spans="2:6" ht="15.75">
      <c r="B1042" s="89"/>
      <c r="C1042" s="103" t="s">
        <v>992</v>
      </c>
      <c r="D1042" s="97">
        <v>610110</v>
      </c>
      <c r="E1042" s="91"/>
      <c r="F1042" s="91"/>
    </row>
    <row r="1043" spans="2:6" ht="15.75">
      <c r="B1043" s="89"/>
      <c r="C1043" s="103" t="s">
        <v>993</v>
      </c>
      <c r="D1043" s="97">
        <v>610111</v>
      </c>
      <c r="E1043" s="91"/>
      <c r="F1043" s="91"/>
    </row>
    <row r="1044" spans="2:6" ht="15.75">
      <c r="B1044" s="89"/>
      <c r="C1044" s="103" t="s">
        <v>994</v>
      </c>
      <c r="D1044" s="97">
        <v>610112</v>
      </c>
      <c r="E1044" s="91"/>
      <c r="F1044" s="91"/>
    </row>
    <row r="1045" spans="2:6" ht="15.75">
      <c r="B1045" s="89"/>
      <c r="C1045" s="103" t="s">
        <v>990</v>
      </c>
      <c r="D1045" s="97">
        <v>610113</v>
      </c>
      <c r="E1045" s="91"/>
      <c r="F1045" s="91"/>
    </row>
    <row r="1046" spans="2:6" ht="15.75">
      <c r="B1046" s="89"/>
      <c r="C1046" s="111" t="s">
        <v>995</v>
      </c>
      <c r="D1046" s="97">
        <v>610199</v>
      </c>
      <c r="E1046" s="91"/>
      <c r="F1046" s="91"/>
    </row>
    <row r="1047" spans="2:6" ht="15.75">
      <c r="B1047" s="89"/>
      <c r="C1047" s="111"/>
      <c r="D1047" s="97"/>
      <c r="E1047" s="91"/>
      <c r="F1047" s="91"/>
    </row>
    <row r="1048" spans="2:6" ht="15.75">
      <c r="B1048" s="109"/>
      <c r="C1048" s="129"/>
      <c r="D1048" s="112"/>
      <c r="E1048" s="109"/>
      <c r="F1048" s="109"/>
    </row>
    <row r="1049" spans="2:6" ht="15.75">
      <c r="B1049" s="109">
        <v>27</v>
      </c>
      <c r="C1049" s="122" t="s">
        <v>996</v>
      </c>
      <c r="D1049" s="97"/>
      <c r="E1049" s="109"/>
      <c r="F1049" s="109"/>
    </row>
    <row r="1050" spans="2:6" ht="15.75">
      <c r="B1050" s="87"/>
      <c r="C1050" s="111" t="s">
        <v>997</v>
      </c>
      <c r="D1050" s="97" t="s">
        <v>998</v>
      </c>
      <c r="E1050" s="109"/>
      <c r="F1050" s="109"/>
    </row>
    <row r="1051" spans="2:6" ht="15.75">
      <c r="B1051" s="89"/>
      <c r="C1051" s="111" t="s">
        <v>999</v>
      </c>
      <c r="D1051" s="97" t="s">
        <v>1000</v>
      </c>
      <c r="E1051" s="91"/>
      <c r="F1051" s="91"/>
    </row>
    <row r="1052" spans="2:6" ht="15.75">
      <c r="B1052" s="89"/>
      <c r="C1052" s="111" t="s">
        <v>1001</v>
      </c>
      <c r="D1052" s="97" t="s">
        <v>1002</v>
      </c>
      <c r="E1052" s="91"/>
      <c r="F1052" s="91"/>
    </row>
    <row r="1053" spans="2:6" ht="15.75">
      <c r="B1053" s="89"/>
      <c r="C1053" s="111" t="s">
        <v>1003</v>
      </c>
      <c r="D1053" s="97" t="s">
        <v>1004</v>
      </c>
      <c r="E1053" s="91"/>
      <c r="F1053" s="91"/>
    </row>
    <row r="1054" spans="2:6" ht="15.75">
      <c r="B1054" s="89"/>
      <c r="C1054" s="111" t="s">
        <v>1005</v>
      </c>
      <c r="D1054" s="97" t="s">
        <v>1006</v>
      </c>
      <c r="E1054" s="91"/>
      <c r="F1054" s="91"/>
    </row>
    <row r="1055" spans="2:6" ht="15.75">
      <c r="B1055" s="89"/>
      <c r="C1055" s="111" t="s">
        <v>1007</v>
      </c>
      <c r="D1055" s="97" t="s">
        <v>1008</v>
      </c>
      <c r="E1055" s="91"/>
      <c r="F1055" s="91"/>
    </row>
    <row r="1056" spans="2:6" ht="15.75">
      <c r="B1056" s="87"/>
      <c r="C1056" s="104" t="s">
        <v>1009</v>
      </c>
      <c r="D1056" s="97"/>
      <c r="E1056" s="91"/>
      <c r="F1056" s="91"/>
    </row>
    <row r="1057" spans="2:6" ht="15.75">
      <c r="B1057" s="89"/>
      <c r="C1057" s="111" t="s">
        <v>1010</v>
      </c>
      <c r="D1057" s="97" t="s">
        <v>1011</v>
      </c>
      <c r="E1057" s="91"/>
      <c r="F1057" s="91"/>
    </row>
    <row r="1058" spans="2:6" ht="15.75">
      <c r="B1058" s="89"/>
      <c r="C1058" s="111" t="s">
        <v>1012</v>
      </c>
      <c r="D1058" s="97" t="s">
        <v>1013</v>
      </c>
      <c r="E1058" s="91"/>
      <c r="F1058" s="91"/>
    </row>
    <row r="1059" spans="2:6" ht="15.75">
      <c r="B1059" s="89"/>
      <c r="C1059" s="111" t="s">
        <v>1014</v>
      </c>
      <c r="D1059" s="97" t="s">
        <v>1015</v>
      </c>
      <c r="E1059" s="91"/>
      <c r="F1059" s="91"/>
    </row>
    <row r="1060" spans="2:6" ht="15.75">
      <c r="B1060" s="89"/>
      <c r="C1060" s="111" t="s">
        <v>1016</v>
      </c>
      <c r="D1060" s="97" t="s">
        <v>1017</v>
      </c>
      <c r="E1060" s="91"/>
      <c r="F1060" s="91"/>
    </row>
    <row r="1061" spans="2:6" ht="15.75">
      <c r="B1061" s="89"/>
      <c r="C1061" s="111" t="s">
        <v>1018</v>
      </c>
      <c r="D1061" s="97" t="s">
        <v>1019</v>
      </c>
      <c r="E1061" s="91"/>
      <c r="F1061" s="91"/>
    </row>
    <row r="1062" spans="2:6" ht="15.75">
      <c r="B1062" s="89"/>
      <c r="C1062" s="111" t="s">
        <v>1020</v>
      </c>
      <c r="D1062" s="97" t="s">
        <v>1021</v>
      </c>
      <c r="E1062" s="91"/>
      <c r="F1062" s="91"/>
    </row>
    <row r="1063" spans="2:6" ht="15.75">
      <c r="B1063" s="89"/>
      <c r="C1063" s="111" t="s">
        <v>1022</v>
      </c>
      <c r="D1063" s="97" t="s">
        <v>1023</v>
      </c>
      <c r="E1063" s="91"/>
      <c r="F1063" s="91"/>
    </row>
    <row r="1064" spans="2:6" ht="15.75">
      <c r="B1064" s="89"/>
      <c r="C1064" s="111" t="s">
        <v>1024</v>
      </c>
      <c r="D1064" s="97" t="s">
        <v>1025</v>
      </c>
      <c r="E1064" s="91"/>
      <c r="F1064" s="91"/>
    </row>
    <row r="1065" spans="2:6" ht="15.75">
      <c r="B1065" s="89"/>
      <c r="C1065" s="111"/>
      <c r="D1065" s="97"/>
      <c r="E1065" s="91"/>
      <c r="F1065" s="91"/>
    </row>
    <row r="1066" spans="2:6" ht="15.75">
      <c r="B1066" s="87">
        <v>35</v>
      </c>
      <c r="C1066" s="95" t="s">
        <v>1026</v>
      </c>
      <c r="D1066" s="101"/>
      <c r="E1066" s="91"/>
      <c r="F1066" s="91"/>
    </row>
    <row r="1067" spans="2:6" ht="15.75">
      <c r="B1067" s="89"/>
      <c r="C1067" s="130" t="s">
        <v>1027</v>
      </c>
      <c r="D1067" s="113">
        <v>331201</v>
      </c>
      <c r="E1067" s="91"/>
      <c r="F1067" s="91"/>
    </row>
    <row r="1068" spans="2:6" ht="15.75">
      <c r="B1068" s="89"/>
      <c r="C1068" s="130" t="s">
        <v>1028</v>
      </c>
      <c r="D1068" s="113" t="s">
        <v>1029</v>
      </c>
      <c r="E1068" s="91"/>
      <c r="F1068" s="91"/>
    </row>
    <row r="1069" spans="2:6" ht="15.75">
      <c r="B1069" s="89"/>
      <c r="C1069" s="125" t="s">
        <v>1030</v>
      </c>
      <c r="D1069" s="97">
        <v>331802</v>
      </c>
      <c r="E1069" s="91"/>
      <c r="F1069" s="91"/>
    </row>
    <row r="1070" spans="2:6" ht="15.75">
      <c r="B1070" s="89"/>
      <c r="C1070" s="125" t="s">
        <v>1031</v>
      </c>
      <c r="D1070" s="97">
        <v>331803</v>
      </c>
      <c r="E1070" s="91"/>
      <c r="F1070" s="91"/>
    </row>
    <row r="1071" spans="2:6" ht="15.75">
      <c r="B1071" s="89"/>
      <c r="C1071" s="130"/>
      <c r="D1071" s="113"/>
      <c r="E1071" s="91"/>
      <c r="F1071" s="91"/>
    </row>
    <row r="1072" spans="2:6" ht="15.75">
      <c r="B1072" s="87">
        <v>36</v>
      </c>
      <c r="C1072" s="95" t="s">
        <v>1032</v>
      </c>
      <c r="D1072" s="113"/>
      <c r="E1072" s="91"/>
      <c r="F1072" s="91"/>
    </row>
    <row r="1073" spans="2:6" ht="15.75">
      <c r="B1073" s="89"/>
      <c r="C1073" s="130" t="s">
        <v>1032</v>
      </c>
      <c r="D1073" s="113">
        <v>331202</v>
      </c>
      <c r="E1073" s="91"/>
      <c r="F1073" s="91"/>
    </row>
    <row r="1074" spans="2:6" ht="15.75">
      <c r="B1074" s="89"/>
      <c r="C1074" s="125"/>
      <c r="D1074" s="91"/>
      <c r="E1074" s="91"/>
      <c r="F1074" s="91"/>
    </row>
    <row r="1075" spans="2:6" ht="15.75">
      <c r="B1075" s="89"/>
      <c r="C1075" s="125"/>
      <c r="D1075" s="91"/>
      <c r="E1075" s="91"/>
      <c r="F1075" s="91"/>
    </row>
    <row r="1076" spans="2:6" ht="15.75">
      <c r="B1076" s="89"/>
      <c r="C1076" s="131"/>
      <c r="D1076" s="113"/>
      <c r="E1076" s="91"/>
      <c r="F1076" s="91"/>
    </row>
    <row r="1077" spans="2:6" ht="15.75">
      <c r="B1077" s="87">
        <v>37</v>
      </c>
      <c r="C1077" s="95" t="s">
        <v>1033</v>
      </c>
      <c r="D1077" s="113"/>
      <c r="E1077" s="91"/>
      <c r="F1077" s="91"/>
    </row>
    <row r="1078" spans="2:6" ht="15.75">
      <c r="B1078" s="89"/>
      <c r="C1078" s="130" t="s">
        <v>1033</v>
      </c>
      <c r="D1078" s="97">
        <v>331801</v>
      </c>
      <c r="E1078" s="91"/>
      <c r="F1078" s="91"/>
    </row>
    <row r="1079" spans="2:6" ht="15.75">
      <c r="B1079" s="89"/>
      <c r="C1079" s="131"/>
      <c r="D1079" s="97">
        <v>331899</v>
      </c>
      <c r="E1079" s="91"/>
      <c r="F1079" s="91"/>
    </row>
    <row r="1080" spans="2:6" ht="15.75">
      <c r="B1080" s="89"/>
      <c r="C1080" s="103"/>
      <c r="D1080" s="101"/>
      <c r="E1080" s="91"/>
      <c r="F1080" s="91"/>
    </row>
    <row r="1081" spans="2:6" ht="15.75">
      <c r="B1081" s="87">
        <v>23</v>
      </c>
      <c r="C1081" s="105" t="s">
        <v>1034</v>
      </c>
      <c r="D1081" s="114"/>
      <c r="E1081" s="91"/>
      <c r="F1081" s="91"/>
    </row>
    <row r="1082" spans="2:6" ht="15.75">
      <c r="B1082" s="89"/>
      <c r="C1082" s="105" t="s">
        <v>1035</v>
      </c>
      <c r="D1082" s="101"/>
      <c r="E1082" s="91"/>
      <c r="F1082" s="91"/>
    </row>
    <row r="1083" spans="2:6" ht="15.75">
      <c r="B1083" s="89"/>
      <c r="C1083" s="103" t="s">
        <v>1036</v>
      </c>
      <c r="D1083" s="101">
        <v>420101</v>
      </c>
      <c r="E1083" s="91"/>
      <c r="F1083" s="91"/>
    </row>
    <row r="1084" spans="2:6" ht="15.75">
      <c r="B1084" s="89"/>
      <c r="C1084" s="103" t="s">
        <v>1037</v>
      </c>
      <c r="D1084" s="101">
        <v>420102</v>
      </c>
      <c r="E1084" s="91"/>
      <c r="F1084" s="91"/>
    </row>
    <row r="1085" spans="2:6" ht="15.75">
      <c r="B1085" s="89"/>
      <c r="C1085" s="115" t="s">
        <v>1038</v>
      </c>
      <c r="D1085" s="101">
        <v>420103</v>
      </c>
      <c r="E1085" s="91"/>
      <c r="F1085" s="91"/>
    </row>
    <row r="1086" spans="2:6" ht="15.75">
      <c r="B1086" s="89"/>
      <c r="C1086" s="115" t="s">
        <v>1039</v>
      </c>
      <c r="D1086" s="101">
        <v>420104</v>
      </c>
      <c r="E1086" s="91"/>
      <c r="F1086" s="91"/>
    </row>
    <row r="1087" spans="2:6" ht="15.75">
      <c r="B1087" s="89"/>
      <c r="C1087" s="132" t="s">
        <v>1040</v>
      </c>
      <c r="D1087" s="101">
        <v>420105</v>
      </c>
      <c r="E1087" s="91"/>
      <c r="F1087" s="91"/>
    </row>
    <row r="1088" spans="2:6" ht="15.75">
      <c r="B1088" s="89"/>
      <c r="C1088" s="132" t="s">
        <v>1041</v>
      </c>
      <c r="D1088" s="101">
        <v>420106</v>
      </c>
      <c r="E1088" s="91"/>
      <c r="F1088" s="91"/>
    </row>
    <row r="1089" spans="2:6" ht="15.75">
      <c r="B1089" s="89"/>
      <c r="C1089" s="132" t="s">
        <v>1042</v>
      </c>
      <c r="D1089" s="101">
        <v>420107</v>
      </c>
      <c r="E1089" s="91"/>
      <c r="F1089" s="91"/>
    </row>
    <row r="1090" spans="2:6" ht="15.75">
      <c r="B1090" s="89"/>
      <c r="C1090" s="132" t="s">
        <v>1043</v>
      </c>
      <c r="D1090" s="101">
        <v>420108</v>
      </c>
      <c r="E1090" s="91"/>
      <c r="F1090" s="91"/>
    </row>
    <row r="1091" spans="2:6" ht="15.75">
      <c r="B1091" s="89"/>
      <c r="C1091" s="115" t="s">
        <v>1044</v>
      </c>
      <c r="D1091" s="101">
        <v>420109</v>
      </c>
      <c r="E1091" s="91"/>
      <c r="F1091" s="91"/>
    </row>
    <row r="1092" spans="2:6" ht="15.75">
      <c r="B1092" s="89"/>
      <c r="C1092" s="115" t="s">
        <v>1045</v>
      </c>
      <c r="D1092" s="101">
        <v>420110</v>
      </c>
      <c r="E1092" s="91"/>
      <c r="F1092" s="91"/>
    </row>
    <row r="1093" spans="2:6" ht="15.75">
      <c r="B1093" s="89"/>
      <c r="C1093" s="115" t="s">
        <v>1046</v>
      </c>
      <c r="D1093" s="101">
        <v>420111</v>
      </c>
      <c r="E1093" s="91"/>
      <c r="F1093" s="91"/>
    </row>
    <row r="1094" spans="2:6" ht="15.75">
      <c r="B1094" s="89"/>
      <c r="C1094" s="115" t="s">
        <v>1047</v>
      </c>
      <c r="D1094" s="101">
        <v>420112</v>
      </c>
      <c r="E1094" s="91"/>
      <c r="F1094" s="91"/>
    </row>
    <row r="1095" spans="2:6" ht="15.75">
      <c r="B1095" s="89"/>
      <c r="C1095" s="132" t="s">
        <v>1048</v>
      </c>
      <c r="D1095" s="101">
        <v>420113</v>
      </c>
      <c r="E1095" s="91"/>
      <c r="F1095" s="91"/>
    </row>
    <row r="1096" spans="2:6" ht="15.75">
      <c r="B1096" s="89"/>
      <c r="C1096" s="103" t="s">
        <v>1049</v>
      </c>
      <c r="D1096" s="101"/>
      <c r="E1096" s="91"/>
      <c r="F1096" s="91"/>
    </row>
    <row r="1097" spans="2:6" ht="15.75">
      <c r="B1097" s="89"/>
      <c r="C1097" s="125"/>
      <c r="D1097" s="97"/>
      <c r="E1097" s="91"/>
      <c r="F1097" s="91"/>
    </row>
    <row r="1098" spans="2:6" ht="15.75">
      <c r="B1098" s="89"/>
      <c r="C1098" s="125"/>
      <c r="D1098" s="97"/>
      <c r="E1098" s="91"/>
      <c r="F1098" s="91"/>
    </row>
    <row r="1099" spans="2:6" ht="15.75">
      <c r="B1099" s="87"/>
      <c r="C1099" s="130" t="s">
        <v>1050</v>
      </c>
      <c r="D1099" s="113">
        <v>331210</v>
      </c>
      <c r="E1099" s="91"/>
      <c r="F1099" s="91"/>
    </row>
    <row r="1100" spans="2:6" ht="15.75">
      <c r="B1100" s="89"/>
      <c r="C1100" s="130" t="s">
        <v>1051</v>
      </c>
      <c r="D1100" s="97">
        <v>331804</v>
      </c>
      <c r="E1100" s="91"/>
      <c r="F1100" s="91"/>
    </row>
    <row r="1101" spans="2:6" ht="15.75">
      <c r="B1101" s="89"/>
      <c r="C1101" s="130" t="s">
        <v>1052</v>
      </c>
      <c r="D1101" s="97">
        <v>331805</v>
      </c>
      <c r="E1101" s="91"/>
      <c r="F1101" s="91"/>
    </row>
    <row r="1102" spans="2:6" ht="15.75">
      <c r="B1102" s="89"/>
      <c r="C1102" s="125"/>
      <c r="D1102" s="97"/>
      <c r="E1102" s="91"/>
      <c r="F1102" s="91"/>
    </row>
    <row r="1103" spans="2:6" ht="15.75">
      <c r="B1103" s="98">
        <v>40</v>
      </c>
      <c r="C1103" s="122" t="s">
        <v>1053</v>
      </c>
      <c r="D1103" s="99"/>
      <c r="E1103" s="99"/>
      <c r="F1103" s="91"/>
    </row>
    <row r="1104" spans="2:6" ht="15.75">
      <c r="B1104" s="98"/>
      <c r="C1104" s="121"/>
      <c r="D1104" s="99"/>
      <c r="E1104" s="99"/>
      <c r="F1104" s="91"/>
    </row>
    <row r="1105" spans="2:6" ht="15.75">
      <c r="B1105" s="116"/>
      <c r="C1105" s="121" t="s">
        <v>1054</v>
      </c>
      <c r="D1105" s="99"/>
      <c r="E1105" s="99"/>
      <c r="F1105" s="91"/>
    </row>
    <row r="1106" spans="2:6" ht="15.75">
      <c r="B1106" s="98"/>
      <c r="C1106" s="132" t="s">
        <v>1055</v>
      </c>
      <c r="D1106" s="96"/>
      <c r="E1106" s="96"/>
      <c r="F1106" s="91"/>
    </row>
    <row r="1107" spans="2:6" ht="15.75">
      <c r="B1107" s="98"/>
      <c r="C1107" s="121" t="s">
        <v>1056</v>
      </c>
      <c r="D1107" s="117"/>
      <c r="E1107" s="117"/>
      <c r="F1107" s="91"/>
    </row>
    <row r="1108" spans="2:6" ht="15.75">
      <c r="B1108" s="98"/>
      <c r="C1108" s="132" t="s">
        <v>1057</v>
      </c>
      <c r="D1108" s="118"/>
      <c r="E1108" s="96" t="s">
        <v>1058</v>
      </c>
      <c r="F1108" s="91" t="s">
        <v>1058</v>
      </c>
    </row>
    <row r="1109" spans="2:6" ht="15.75">
      <c r="B1109" s="98"/>
      <c r="C1109" s="132" t="s">
        <v>1059</v>
      </c>
      <c r="D1109" s="118"/>
      <c r="E1109" s="96" t="s">
        <v>1058</v>
      </c>
      <c r="F1109" s="91" t="s">
        <v>1058</v>
      </c>
    </row>
    <row r="1110" spans="2:6" ht="15.75">
      <c r="B1110" s="98"/>
      <c r="C1110" s="132" t="s">
        <v>1060</v>
      </c>
      <c r="D1110" s="118"/>
      <c r="E1110" s="96" t="s">
        <v>1058</v>
      </c>
      <c r="F1110" s="91" t="s">
        <v>1058</v>
      </c>
    </row>
    <row r="1111" spans="2:6" ht="15.75">
      <c r="B1111" s="98"/>
      <c r="C1111" s="132" t="s">
        <v>1061</v>
      </c>
      <c r="D1111" s="118"/>
      <c r="E1111" s="96" t="s">
        <v>1058</v>
      </c>
      <c r="F1111" s="91" t="s">
        <v>1058</v>
      </c>
    </row>
    <row r="1112" spans="2:6" ht="15.75">
      <c r="B1112" s="98"/>
      <c r="C1112" s="132" t="s">
        <v>1062</v>
      </c>
      <c r="D1112" s="117"/>
      <c r="E1112" s="96" t="s">
        <v>1058</v>
      </c>
      <c r="F1112" s="91" t="s">
        <v>1058</v>
      </c>
    </row>
    <row r="1113" spans="2:6" ht="15.75">
      <c r="B1113" s="98"/>
      <c r="C1113" s="121"/>
      <c r="D1113" s="117"/>
      <c r="E1113" s="96"/>
      <c r="F1113" s="91"/>
    </row>
    <row r="1114" spans="2:6" ht="15.75">
      <c r="B1114" s="98"/>
      <c r="C1114" s="121" t="s">
        <v>1063</v>
      </c>
      <c r="D1114" s="96"/>
      <c r="E1114" s="96"/>
      <c r="F1114" s="91"/>
    </row>
    <row r="1115" spans="2:6" ht="15.75">
      <c r="B1115" s="98"/>
      <c r="C1115" s="132" t="s">
        <v>1057</v>
      </c>
      <c r="D1115" s="118"/>
      <c r="E1115" s="96" t="s">
        <v>1058</v>
      </c>
      <c r="F1115" s="96" t="s">
        <v>1058</v>
      </c>
    </row>
    <row r="1116" spans="2:6" ht="15.75">
      <c r="B1116" s="98"/>
      <c r="C1116" s="132" t="s">
        <v>1064</v>
      </c>
      <c r="D1116" s="118"/>
      <c r="E1116" s="96" t="s">
        <v>1058</v>
      </c>
      <c r="F1116" s="96" t="s">
        <v>1058</v>
      </c>
    </row>
    <row r="1117" spans="2:6" ht="15.75">
      <c r="B1117" s="98"/>
      <c r="C1117" s="132" t="s">
        <v>1062</v>
      </c>
      <c r="D1117" s="117"/>
      <c r="E1117" s="96" t="s">
        <v>1058</v>
      </c>
      <c r="F1117" s="96" t="s">
        <v>1058</v>
      </c>
    </row>
    <row r="1118" spans="2:6" ht="15.75">
      <c r="B1118" s="98"/>
      <c r="C1118" s="132"/>
      <c r="D1118" s="118"/>
      <c r="E1118" s="96"/>
      <c r="F1118" s="91"/>
    </row>
    <row r="1119" spans="2:6" ht="15.75">
      <c r="B1119" s="98"/>
      <c r="C1119" s="121" t="s">
        <v>1065</v>
      </c>
      <c r="D1119" s="117"/>
      <c r="E1119" s="96"/>
      <c r="F1119" s="91"/>
    </row>
    <row r="1120" spans="2:6" ht="18">
      <c r="B1120" s="98"/>
      <c r="C1120" s="132" t="s">
        <v>1062</v>
      </c>
      <c r="D1120" s="119"/>
      <c r="E1120" s="120" t="s">
        <v>1066</v>
      </c>
      <c r="F1120" s="120" t="s">
        <v>1066</v>
      </c>
    </row>
    <row r="1121" spans="2:6" ht="15.75">
      <c r="B1121" s="98"/>
      <c r="C1121" s="132"/>
      <c r="D1121" s="119"/>
      <c r="E1121" s="96"/>
      <c r="F1121" s="91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6"/>
  <sheetViews>
    <sheetView zoomScalePageLayoutView="0" workbookViewId="0" topLeftCell="A61">
      <selection activeCell="F64" sqref="F64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2.8515625" style="1" customWidth="1"/>
    <col min="5" max="5" width="22.28125" style="1" customWidth="1"/>
    <col min="6" max="6" width="18.7109375" style="1" customWidth="1"/>
    <col min="7" max="7" width="18.57421875" style="0" customWidth="1"/>
    <col min="8" max="8" width="21.421875" style="0" customWidth="1"/>
    <col min="9" max="9" width="8.710937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1195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1188</v>
      </c>
      <c r="E4" s="324" t="s">
        <v>1197</v>
      </c>
      <c r="F4" s="326" t="s">
        <v>1198</v>
      </c>
      <c r="G4" s="324" t="s">
        <v>1199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/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/>
      <c r="F7" s="207">
        <v>0</v>
      </c>
      <c r="G7" s="60">
        <f aca="true" t="shared" si="0" ref="G7:G18">+E7+F7</f>
        <v>0</v>
      </c>
      <c r="H7" s="34">
        <f>+D7-G7</f>
        <v>2100000000</v>
      </c>
      <c r="I7" s="201">
        <f>+G7/D7*100</f>
        <v>0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/>
      <c r="F8" s="207">
        <v>2978029.63</v>
      </c>
      <c r="G8" s="60">
        <f t="shared" si="0"/>
        <v>2978029.63</v>
      </c>
      <c r="H8" s="34">
        <f aca="true" t="shared" si="1" ref="H8:H18">+D8-G8</f>
        <v>997021970.37</v>
      </c>
      <c r="I8" s="201">
        <f aca="true" t="shared" si="2" ref="I8:I18">+G8/D8*100</f>
        <v>0.297802963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/>
      <c r="F9" s="66">
        <v>0</v>
      </c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/>
      <c r="F10" s="66">
        <v>2300000</v>
      </c>
      <c r="G10" s="60">
        <f t="shared" si="0"/>
        <v>2300000</v>
      </c>
      <c r="H10" s="34">
        <f t="shared" si="1"/>
        <v>63940000</v>
      </c>
      <c r="I10" s="201">
        <f t="shared" si="2"/>
        <v>3.4722222222222223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/>
      <c r="F11" s="66">
        <v>0</v>
      </c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1"/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/>
      <c r="F12" s="66">
        <v>0</v>
      </c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/>
      <c r="F13" s="207">
        <v>2252000</v>
      </c>
      <c r="G13" s="60">
        <f t="shared" si="0"/>
        <v>2252000</v>
      </c>
      <c r="H13" s="34">
        <f t="shared" si="1"/>
        <v>93172000</v>
      </c>
      <c r="I13" s="201">
        <f t="shared" si="2"/>
        <v>2.3599932930918848</v>
      </c>
      <c r="J13" s="221"/>
      <c r="K13" s="1"/>
    </row>
    <row r="14" spans="1:11" ht="15">
      <c r="A14" s="46">
        <v>11310104</v>
      </c>
      <c r="B14" s="234" t="s">
        <v>1196</v>
      </c>
      <c r="C14" s="233"/>
      <c r="D14" s="71">
        <v>195000000</v>
      </c>
      <c r="E14" s="34"/>
      <c r="F14" s="207">
        <v>200000</v>
      </c>
      <c r="G14" s="60">
        <f t="shared" si="0"/>
        <v>200000</v>
      </c>
      <c r="H14" s="34">
        <f t="shared" si="1"/>
        <v>194800000</v>
      </c>
      <c r="I14" s="201">
        <f t="shared" si="2"/>
        <v>0.10256410256410256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/>
      <c r="F15" s="207">
        <f>14916639.54-2300000+763000-700000</f>
        <v>12679639.54</v>
      </c>
      <c r="G15" s="60">
        <f t="shared" si="0"/>
        <v>12679639.54</v>
      </c>
      <c r="H15" s="34">
        <f t="shared" si="1"/>
        <v>56803360.46</v>
      </c>
      <c r="I15" s="201">
        <f t="shared" si="2"/>
        <v>18.248549343004765</v>
      </c>
      <c r="K15" s="1"/>
    </row>
    <row r="16" spans="1:11" ht="15">
      <c r="A16" s="46">
        <v>11460101</v>
      </c>
      <c r="B16" s="231" t="s">
        <v>1192</v>
      </c>
      <c r="C16" s="229"/>
      <c r="D16" s="71">
        <v>168000000</v>
      </c>
      <c r="E16" s="71"/>
      <c r="F16" s="207">
        <v>0</v>
      </c>
      <c r="G16" s="60">
        <f t="shared" si="0"/>
        <v>0</v>
      </c>
      <c r="H16" s="34">
        <f t="shared" si="1"/>
        <v>168000000</v>
      </c>
      <c r="I16" s="201">
        <f t="shared" si="2"/>
        <v>0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/>
      <c r="F17" s="207">
        <v>0</v>
      </c>
      <c r="G17" s="60">
        <f t="shared" si="0"/>
        <v>0</v>
      </c>
      <c r="H17" s="34">
        <f t="shared" si="1"/>
        <v>1700000</v>
      </c>
      <c r="I17" s="201">
        <f t="shared" si="2"/>
        <v>0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/>
      <c r="F18" s="207">
        <v>500000</v>
      </c>
      <c r="G18" s="60">
        <f t="shared" si="0"/>
        <v>500000</v>
      </c>
      <c r="H18" s="34">
        <f t="shared" si="1"/>
        <v>199500000</v>
      </c>
      <c r="I18" s="201">
        <f t="shared" si="2"/>
        <v>0.25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0</v>
      </c>
      <c r="F19" s="49">
        <f>+F7+F8+F9+F10+F11+F12+F13+F14+F15+F16+F17+F18</f>
        <v>20909669.169999998</v>
      </c>
      <c r="G19" s="49">
        <f>+G7+G8+G9+G10+G11+G12+G13+G14+G15+G16+G17+G18</f>
        <v>20909669.169999998</v>
      </c>
      <c r="H19" s="49">
        <f>H7+H8+H9+H10+H11+H12+H13+H15+H16+H17+H18</f>
        <v>3708897330.83</v>
      </c>
      <c r="I19" s="201">
        <f>+G19/D19*100</f>
        <v>0.5327837709610159</v>
      </c>
      <c r="K19" s="1"/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1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/>
      <c r="F22" s="66">
        <v>80000</v>
      </c>
      <c r="G22" s="34">
        <f>+E22+F22</f>
        <v>80000</v>
      </c>
      <c r="H22" s="34">
        <f>+D22-G22</f>
        <v>4720000</v>
      </c>
      <c r="I22" s="201">
        <f>G22/D22*100</f>
        <v>1.6666666666666667</v>
      </c>
      <c r="K22" s="1"/>
    </row>
    <row r="23" spans="1:11" ht="15">
      <c r="A23" s="46">
        <v>11610103</v>
      </c>
      <c r="B23" s="314" t="s">
        <v>13</v>
      </c>
      <c r="C23" s="314"/>
      <c r="D23" s="34">
        <v>101200000</v>
      </c>
      <c r="E23" s="34"/>
      <c r="F23" s="164">
        <v>5780000</v>
      </c>
      <c r="G23" s="34">
        <f>+E23+F23</f>
        <v>5780000</v>
      </c>
      <c r="H23" s="34">
        <f>+D23-G23</f>
        <v>95420000</v>
      </c>
      <c r="I23" s="201">
        <f>G23/D23*100</f>
        <v>5.711462450592886</v>
      </c>
      <c r="K23" s="1"/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/>
      <c r="F24" s="34">
        <v>583100</v>
      </c>
      <c r="G24" s="34">
        <f>+E24+F24</f>
        <v>583100</v>
      </c>
      <c r="H24" s="34">
        <f>+D24-G24</f>
        <v>22180900</v>
      </c>
      <c r="I24" s="201">
        <f>G24/D24*100</f>
        <v>2.56150061500615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0</v>
      </c>
      <c r="F25" s="49">
        <f>SUM(F22:F24)</f>
        <v>6443100</v>
      </c>
      <c r="G25" s="49">
        <f>SUM(G22:G24)</f>
        <v>6443100</v>
      </c>
      <c r="H25" s="49">
        <f>SUM(H22:H24)</f>
        <v>122320900</v>
      </c>
      <c r="I25" s="45">
        <f>G25/D25*100</f>
        <v>5.003805411450405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1"/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/>
      <c r="F28" s="34">
        <v>88000</v>
      </c>
      <c r="G28" s="34">
        <f aca="true" t="shared" si="3" ref="G28:G33">+E28+F28</f>
        <v>88000</v>
      </c>
      <c r="H28" s="34">
        <f aca="true" t="shared" si="4" ref="H28:H33">+D28-G28</f>
        <v>114912000</v>
      </c>
      <c r="I28" s="201">
        <f aca="true" t="shared" si="5" ref="I28:I33">G28/D28*100</f>
        <v>0.0765217391304348</v>
      </c>
      <c r="K28" s="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/>
      <c r="F29" s="164">
        <v>20779519.99</v>
      </c>
      <c r="G29" s="34">
        <f t="shared" si="3"/>
        <v>20779519.99</v>
      </c>
      <c r="H29" s="34">
        <f t="shared" si="4"/>
        <v>62220480.010000005</v>
      </c>
      <c r="I29" s="201">
        <f t="shared" si="5"/>
        <v>25.03556625301205</v>
      </c>
      <c r="K29" s="1"/>
    </row>
    <row r="30" spans="1:11" ht="15">
      <c r="A30" s="46">
        <v>110806</v>
      </c>
      <c r="B30" s="230" t="s">
        <v>46</v>
      </c>
      <c r="C30" s="230"/>
      <c r="D30" s="34">
        <v>31000000</v>
      </c>
      <c r="E30" s="34"/>
      <c r="F30" s="34">
        <v>0</v>
      </c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30" t="s">
        <v>47</v>
      </c>
      <c r="C31" s="230"/>
      <c r="D31" s="34">
        <v>15000000</v>
      </c>
      <c r="E31" s="34"/>
      <c r="F31" s="34">
        <v>320000</v>
      </c>
      <c r="G31" s="34">
        <f t="shared" si="3"/>
        <v>320000</v>
      </c>
      <c r="H31" s="34">
        <f t="shared" si="4"/>
        <v>14680000</v>
      </c>
      <c r="I31" s="201">
        <f t="shared" si="5"/>
        <v>2.1333333333333333</v>
      </c>
      <c r="J31" s="221"/>
      <c r="K31" s="1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/>
      <c r="F32" s="34">
        <v>0</v>
      </c>
      <c r="G32" s="34">
        <f t="shared" si="3"/>
        <v>0</v>
      </c>
      <c r="H32" s="34">
        <f t="shared" si="4"/>
        <v>100000000</v>
      </c>
      <c r="I32" s="201">
        <f t="shared" si="5"/>
        <v>0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/>
      <c r="F33" s="34">
        <v>0</v>
      </c>
      <c r="G33" s="34">
        <f t="shared" si="3"/>
        <v>0</v>
      </c>
      <c r="H33" s="34">
        <f t="shared" si="4"/>
        <v>10000000</v>
      </c>
      <c r="I33" s="201">
        <f t="shared" si="5"/>
        <v>0</v>
      </c>
      <c r="K33" s="1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0</v>
      </c>
      <c r="F34" s="49">
        <f>SUM(F28:F33)</f>
        <v>21187519.99</v>
      </c>
      <c r="G34" s="49">
        <f>SUM(G28:G33)</f>
        <v>21187519.99</v>
      </c>
      <c r="H34" s="49">
        <f>SUM(H28:H33)</f>
        <v>332812480.01</v>
      </c>
      <c r="I34" s="45">
        <f>G34/D34*100</f>
        <v>5.985175138418079</v>
      </c>
      <c r="K34" s="1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1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1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34"/>
      <c r="F37" s="66">
        <v>4656000</v>
      </c>
      <c r="G37" s="34">
        <f>+E37+F37</f>
        <v>4656000</v>
      </c>
      <c r="H37" s="34">
        <f>+D37-G37</f>
        <v>205104000</v>
      </c>
      <c r="I37" s="201">
        <f>G37/D37*100</f>
        <v>2.2196796338672766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34"/>
      <c r="F38" s="207">
        <v>380000</v>
      </c>
      <c r="G38" s="34">
        <f>+E38+F38</f>
        <v>380000</v>
      </c>
      <c r="H38" s="34">
        <f>+D38-G38</f>
        <v>5020000</v>
      </c>
      <c r="I38" s="201">
        <f>G38/D38*100</f>
        <v>7.037037037037037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/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0</v>
      </c>
      <c r="F40" s="49">
        <f>SUM(F37:F39)</f>
        <v>5036000</v>
      </c>
      <c r="G40" s="49">
        <f>SUM(G37:G39)</f>
        <v>5036000</v>
      </c>
      <c r="H40" s="49">
        <f>SUM(H37:H39)</f>
        <v>211124000</v>
      </c>
      <c r="I40" s="45">
        <f>G40/D40*100</f>
        <v>2.329755736491488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/>
      <c r="F43" s="66">
        <v>200000</v>
      </c>
      <c r="G43" s="34">
        <f>+E43+F43</f>
        <v>200000</v>
      </c>
      <c r="H43" s="34">
        <f>+D43-G43</f>
        <v>199800000</v>
      </c>
      <c r="I43" s="224">
        <f>G43/D43*100</f>
        <v>0.1</v>
      </c>
      <c r="K43" s="1"/>
    </row>
    <row r="44" spans="1:11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0</v>
      </c>
      <c r="F44" s="49">
        <f>SUM(F43:F43)</f>
        <v>200000</v>
      </c>
      <c r="G44" s="44">
        <f>+E44+F44</f>
        <v>200000</v>
      </c>
      <c r="H44" s="49">
        <f>SUM(H43:H43)</f>
        <v>199800000</v>
      </c>
      <c r="I44" s="224">
        <f>G44/D44*100</f>
        <v>0.1</v>
      </c>
      <c r="K44" s="1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/>
      <c r="F46" s="66">
        <v>869000</v>
      </c>
      <c r="G46" s="34">
        <f>+E46+F46</f>
        <v>869000</v>
      </c>
      <c r="H46" s="34">
        <f>+D46-G46</f>
        <v>5131000</v>
      </c>
      <c r="I46" s="201">
        <f>G46/D46*100</f>
        <v>14.483333333333334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/>
      <c r="F47" s="164"/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0</v>
      </c>
      <c r="F48" s="49">
        <f>SUM(F46:F47)</f>
        <v>869000</v>
      </c>
      <c r="G48" s="49">
        <f>SUM(G46:G47)</f>
        <v>869000</v>
      </c>
      <c r="H48" s="49">
        <f>SUM(H46:H47)</f>
        <v>5631000</v>
      </c>
      <c r="I48" s="45">
        <f>G48/D48*100</f>
        <v>13.36923076923077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/>
      <c r="F50" s="34">
        <v>0</v>
      </c>
      <c r="G50" s="34">
        <f>+E50+F50</f>
        <v>0</v>
      </c>
      <c r="H50" s="39">
        <f>+D50-G50</f>
        <v>8400000</v>
      </c>
      <c r="I50" s="201">
        <f>G50/D50*100</f>
        <v>0</v>
      </c>
      <c r="K50" s="1"/>
    </row>
    <row r="51" spans="1:11" ht="18.75" customHeight="1">
      <c r="A51" s="46"/>
      <c r="B51" s="211" t="s">
        <v>1218</v>
      </c>
      <c r="C51" s="210"/>
      <c r="D51" s="250"/>
      <c r="E51" s="71">
        <v>0</v>
      </c>
      <c r="F51" s="71">
        <v>530000</v>
      </c>
      <c r="G51" s="34">
        <f>+E51+F51</f>
        <v>530000</v>
      </c>
      <c r="H51" s="39">
        <f>+D51-G51</f>
        <v>-530000</v>
      </c>
      <c r="I51" s="251"/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0</v>
      </c>
      <c r="F52" s="44">
        <f>SUM(F50:F51)</f>
        <v>530000</v>
      </c>
      <c r="G52" s="34">
        <f>+E52+F52</f>
        <v>530000</v>
      </c>
      <c r="H52" s="44">
        <f>SUM(H50:H51)</f>
        <v>7870000</v>
      </c>
      <c r="I52" s="45">
        <f>G52/D52*100</f>
        <v>6.309523809523809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0</v>
      </c>
      <c r="F54" s="207">
        <v>11440000</v>
      </c>
      <c r="G54" s="206">
        <f>+E54+F54</f>
        <v>11440000</v>
      </c>
      <c r="H54" s="206">
        <f>+D54-G54</f>
        <v>288560000</v>
      </c>
      <c r="I54" s="223">
        <f>G54/D54*100</f>
        <v>3.813333333333333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/>
      <c r="F55" s="246">
        <v>0</v>
      </c>
      <c r="G55" s="206">
        <f>+E55+F55</f>
        <v>0</v>
      </c>
      <c r="H55" s="206">
        <f>+D55-G55</f>
        <v>35200000</v>
      </c>
      <c r="I55" s="223">
        <f>G55/D55*100</f>
        <v>0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0</v>
      </c>
      <c r="F56" s="246">
        <v>9380000</v>
      </c>
      <c r="G56" s="206">
        <f>+E56+F56</f>
        <v>9380000</v>
      </c>
      <c r="H56" s="206">
        <f>+D56-G56</f>
        <v>24869980</v>
      </c>
      <c r="I56" s="223">
        <f>G56/D56*100</f>
        <v>27.386877306205726</v>
      </c>
      <c r="K56" s="1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/>
      <c r="F57" s="246">
        <v>0</v>
      </c>
      <c r="G57" s="206">
        <f>+E57+F57</f>
        <v>0</v>
      </c>
      <c r="H57" s="206">
        <f>+D57-G57</f>
        <v>361900000</v>
      </c>
      <c r="I57" s="223">
        <f>G57/D57*100</f>
        <v>0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0</v>
      </c>
      <c r="F58" s="208">
        <f>SUM(F54:F57)</f>
        <v>20820000</v>
      </c>
      <c r="G58" s="208">
        <f>SUM(G54:G57)</f>
        <v>20820000</v>
      </c>
      <c r="H58" s="208">
        <f>SUM(H54:H54)</f>
        <v>288560000</v>
      </c>
      <c r="I58" s="209">
        <f>G58/D58*100</f>
        <v>2.846790260389424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/>
      <c r="F60" s="56">
        <v>0</v>
      </c>
      <c r="G60" s="56">
        <f>+E60+F60</f>
        <v>0</v>
      </c>
      <c r="H60" s="39">
        <f>+D60-G60</f>
        <v>8300000</v>
      </c>
      <c r="I60" s="225">
        <f>G60/D60*100</f>
        <v>0</v>
      </c>
      <c r="K60" s="16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0</v>
      </c>
      <c r="F61" s="49">
        <f>+F19+F25+F34+F40+F44+F48+F52+F58+F60</f>
        <v>75995289.16</v>
      </c>
      <c r="G61" s="49">
        <f>+G19+G25+G34+G40+G44+G48+G52+G58+G60</f>
        <v>75995289.16</v>
      </c>
      <c r="H61" s="49">
        <f>+H19+H25+H34+H40+H44+H48+H52+H58+H60</f>
        <v>4885315710.84</v>
      </c>
      <c r="I61" s="222">
        <f>+G61/D61*100</f>
        <v>1.3623912853269475</v>
      </c>
      <c r="J61" s="67"/>
      <c r="K61" s="1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 t="s">
        <v>79</v>
      </c>
      <c r="B63" s="319"/>
      <c r="C63" s="319"/>
      <c r="D63" s="168"/>
      <c r="E63" s="220"/>
      <c r="F63" s="168"/>
      <c r="G63" s="218"/>
      <c r="H63" s="218"/>
      <c r="I63" s="168"/>
      <c r="K63" s="242"/>
    </row>
    <row r="64" spans="1:13" ht="15">
      <c r="A64" s="33">
        <v>13310101</v>
      </c>
      <c r="B64" s="332" t="s">
        <v>1204</v>
      </c>
      <c r="C64" s="332"/>
      <c r="D64" s="34">
        <v>16807723000</v>
      </c>
      <c r="E64" s="34"/>
      <c r="F64" s="34">
        <v>1181332000</v>
      </c>
      <c r="G64" s="34">
        <f>+E64+F64</f>
        <v>1181332000</v>
      </c>
      <c r="H64" s="34">
        <f>+D64-G64</f>
        <v>15626391000</v>
      </c>
      <c r="I64" s="201">
        <f>G64/D64*100</f>
        <v>7.028507073801728</v>
      </c>
      <c r="K64" s="226"/>
      <c r="L64" s="221"/>
      <c r="M64" s="221"/>
    </row>
    <row r="65" spans="1:13" ht="15.75" thickBot="1">
      <c r="A65" s="204"/>
      <c r="B65" s="335" t="s">
        <v>1079</v>
      </c>
      <c r="C65" s="336"/>
      <c r="D65" s="44">
        <f>SUM(D64:D64)</f>
        <v>16807723000</v>
      </c>
      <c r="E65" s="44">
        <f>SUM(E64:E64)</f>
        <v>0</v>
      </c>
      <c r="F65" s="44">
        <f>SUM(F64:F64)</f>
        <v>1181332000</v>
      </c>
      <c r="G65" s="44">
        <f>SUM(G64:G64)</f>
        <v>1181332000</v>
      </c>
      <c r="H65" s="44">
        <f>SUM(H64:H64)</f>
        <v>15626391000</v>
      </c>
      <c r="I65" s="201">
        <f>G65/D65*100</f>
        <v>7.028507073801728</v>
      </c>
      <c r="J65" s="26"/>
      <c r="K65" s="226"/>
      <c r="L65" s="221"/>
      <c r="M65" s="221"/>
    </row>
    <row r="66" spans="1:13" ht="15.75" thickTop="1">
      <c r="A66" s="72"/>
      <c r="B66" s="318" t="s">
        <v>44</v>
      </c>
      <c r="C66" s="318"/>
      <c r="D66" s="26"/>
      <c r="E66" s="26"/>
      <c r="F66" s="26"/>
      <c r="G66" s="21"/>
      <c r="H66" s="21"/>
      <c r="I66" s="166"/>
      <c r="K66" s="226"/>
      <c r="L66" s="221"/>
      <c r="M66" s="221"/>
    </row>
    <row r="67" spans="1:13" ht="15">
      <c r="A67" s="33">
        <v>13310102</v>
      </c>
      <c r="B67" s="314" t="s">
        <v>1168</v>
      </c>
      <c r="C67" s="314"/>
      <c r="D67" s="34">
        <f>73086000+33825000</f>
        <v>106911000</v>
      </c>
      <c r="E67" s="34"/>
      <c r="F67" s="34">
        <v>0</v>
      </c>
      <c r="G67" s="34">
        <f>+E67+F67</f>
        <v>0</v>
      </c>
      <c r="H67" s="34">
        <f>+D67-G67</f>
        <v>106911000</v>
      </c>
      <c r="I67" s="201">
        <f>G67/D67*100</f>
        <v>0</v>
      </c>
      <c r="K67" s="226"/>
      <c r="L67" s="221"/>
      <c r="M67" s="221"/>
    </row>
    <row r="68" spans="1:11" ht="15">
      <c r="A68" s="33">
        <v>13310102</v>
      </c>
      <c r="B68" s="314" t="s">
        <v>1162</v>
      </c>
      <c r="C68" s="314"/>
      <c r="D68" s="34">
        <f>44823000+114092000+K79+172401000</f>
        <v>331316000</v>
      </c>
      <c r="E68" s="34"/>
      <c r="F68" s="34">
        <v>0</v>
      </c>
      <c r="G68" s="34">
        <f aca="true" t="shared" si="6" ref="G68:G82">+E68+F68</f>
        <v>0</v>
      </c>
      <c r="H68" s="34">
        <f aca="true" t="shared" si="7" ref="H68:H82">+D68-G68</f>
        <v>331316000</v>
      </c>
      <c r="I68" s="201">
        <f aca="true" t="shared" si="8" ref="I68:I82">G68/D68*100</f>
        <v>0</v>
      </c>
      <c r="J68" s="221"/>
      <c r="K68" s="1"/>
    </row>
    <row r="69" spans="1:11" ht="15">
      <c r="A69" s="33">
        <v>13310102</v>
      </c>
      <c r="B69" s="314" t="s">
        <v>1160</v>
      </c>
      <c r="C69" s="314"/>
      <c r="D69" s="34">
        <f>21230000+28538000+24876000+118881000</f>
        <v>193525000</v>
      </c>
      <c r="E69" s="34"/>
      <c r="F69" s="206">
        <v>0</v>
      </c>
      <c r="G69" s="34">
        <f t="shared" si="6"/>
        <v>0</v>
      </c>
      <c r="H69" s="34">
        <f t="shared" si="7"/>
        <v>193525000</v>
      </c>
      <c r="I69" s="201">
        <f t="shared" si="8"/>
        <v>0</v>
      </c>
      <c r="K69" s="215"/>
    </row>
    <row r="70" spans="1:11" ht="15">
      <c r="A70" s="33">
        <v>13310102</v>
      </c>
      <c r="B70" s="235" t="s">
        <v>1208</v>
      </c>
      <c r="C70" s="235"/>
      <c r="D70" s="34">
        <f>93960000+139600000+314400000-15911796.77+108904796.77</f>
        <v>640953000</v>
      </c>
      <c r="E70" s="34"/>
      <c r="F70" s="206"/>
      <c r="G70" s="34">
        <f t="shared" si="6"/>
        <v>0</v>
      </c>
      <c r="H70" s="34">
        <f t="shared" si="7"/>
        <v>640953000</v>
      </c>
      <c r="I70" s="201"/>
      <c r="K70" s="215"/>
    </row>
    <row r="71" spans="1:11" ht="15">
      <c r="A71" s="33">
        <v>13310102</v>
      </c>
      <c r="B71" s="314" t="s">
        <v>1169</v>
      </c>
      <c r="C71" s="314"/>
      <c r="D71" s="34">
        <v>8855000</v>
      </c>
      <c r="E71" s="34"/>
      <c r="F71" s="34">
        <v>0</v>
      </c>
      <c r="G71" s="34">
        <f t="shared" si="6"/>
        <v>0</v>
      </c>
      <c r="H71" s="34">
        <f t="shared" si="7"/>
        <v>8855000</v>
      </c>
      <c r="I71" s="201">
        <f t="shared" si="8"/>
        <v>0</v>
      </c>
      <c r="J71" s="221"/>
      <c r="K71" s="1"/>
    </row>
    <row r="72" spans="1:11" ht="15">
      <c r="A72" s="33">
        <v>13310102</v>
      </c>
      <c r="B72" s="311" t="s">
        <v>1184</v>
      </c>
      <c r="C72" s="312"/>
      <c r="D72" s="71">
        <v>25526000</v>
      </c>
      <c r="E72" s="34"/>
      <c r="F72" s="34">
        <v>0</v>
      </c>
      <c r="G72" s="34">
        <f t="shared" si="6"/>
        <v>0</v>
      </c>
      <c r="H72" s="34">
        <f t="shared" si="7"/>
        <v>25526000</v>
      </c>
      <c r="I72" s="201">
        <f t="shared" si="8"/>
        <v>0</v>
      </c>
      <c r="J72" s="221"/>
      <c r="K72" s="215"/>
    </row>
    <row r="73" spans="1:11" ht="15">
      <c r="A73" s="33">
        <v>13310102</v>
      </c>
      <c r="B73" s="311" t="s">
        <v>1172</v>
      </c>
      <c r="C73" s="312"/>
      <c r="D73" s="71">
        <v>8000000</v>
      </c>
      <c r="E73" s="34"/>
      <c r="F73" s="34">
        <v>0</v>
      </c>
      <c r="G73" s="34">
        <f t="shared" si="6"/>
        <v>0</v>
      </c>
      <c r="H73" s="34">
        <f t="shared" si="7"/>
        <v>8000000</v>
      </c>
      <c r="I73" s="201">
        <f t="shared" si="8"/>
        <v>0</v>
      </c>
      <c r="K73" s="1"/>
    </row>
    <row r="74" spans="1:11" ht="15">
      <c r="A74" s="33">
        <v>13310102</v>
      </c>
      <c r="B74" s="311" t="s">
        <v>1173</v>
      </c>
      <c r="C74" s="312"/>
      <c r="D74" s="71">
        <v>9960000</v>
      </c>
      <c r="E74" s="34"/>
      <c r="F74" s="34">
        <v>0</v>
      </c>
      <c r="G74" s="34">
        <f t="shared" si="6"/>
        <v>0</v>
      </c>
      <c r="H74" s="34">
        <f t="shared" si="7"/>
        <v>9960000</v>
      </c>
      <c r="I74" s="201">
        <f t="shared" si="8"/>
        <v>0</v>
      </c>
      <c r="J74" s="221"/>
      <c r="K74" s="1"/>
    </row>
    <row r="75" spans="1:11" ht="15">
      <c r="A75" s="33">
        <v>13310102</v>
      </c>
      <c r="B75" s="228" t="s">
        <v>35</v>
      </c>
      <c r="C75" s="229"/>
      <c r="D75" s="71">
        <v>8585000</v>
      </c>
      <c r="E75" s="34"/>
      <c r="F75" s="34">
        <v>0</v>
      </c>
      <c r="G75" s="34">
        <f t="shared" si="6"/>
        <v>0</v>
      </c>
      <c r="H75" s="34">
        <f t="shared" si="7"/>
        <v>8585000</v>
      </c>
      <c r="I75" s="201">
        <f t="shared" si="8"/>
        <v>0</v>
      </c>
      <c r="J75" s="221"/>
      <c r="K75" s="227">
        <f>1390901000-D83</f>
        <v>0</v>
      </c>
    </row>
    <row r="76" spans="1:11" ht="15">
      <c r="A76" s="33">
        <v>13310102</v>
      </c>
      <c r="B76" s="314" t="s">
        <v>1174</v>
      </c>
      <c r="C76" s="314"/>
      <c r="D76" s="34">
        <v>8000000</v>
      </c>
      <c r="E76" s="34"/>
      <c r="F76" s="34">
        <v>0</v>
      </c>
      <c r="G76" s="34">
        <f t="shared" si="6"/>
        <v>0</v>
      </c>
      <c r="H76" s="34">
        <f t="shared" si="7"/>
        <v>8000000</v>
      </c>
      <c r="I76" s="201">
        <f t="shared" si="8"/>
        <v>0</v>
      </c>
      <c r="J76" s="221"/>
      <c r="K76" s="1"/>
    </row>
    <row r="77" spans="1:11" ht="15">
      <c r="A77" s="33">
        <v>13310102</v>
      </c>
      <c r="B77" s="311" t="s">
        <v>1176</v>
      </c>
      <c r="C77" s="312"/>
      <c r="D77" s="71">
        <v>9014000</v>
      </c>
      <c r="E77" s="34"/>
      <c r="F77" s="34">
        <v>0</v>
      </c>
      <c r="G77" s="34">
        <f t="shared" si="6"/>
        <v>0</v>
      </c>
      <c r="H77" s="34">
        <f t="shared" si="7"/>
        <v>9014000</v>
      </c>
      <c r="I77" s="201">
        <f t="shared" si="8"/>
        <v>0</v>
      </c>
      <c r="J77" s="221"/>
      <c r="K77" s="242"/>
    </row>
    <row r="78" spans="1:11" ht="15">
      <c r="A78" s="33">
        <v>13310102</v>
      </c>
      <c r="B78" s="311" t="s">
        <v>1190</v>
      </c>
      <c r="C78" s="312"/>
      <c r="D78" s="71">
        <v>8000000</v>
      </c>
      <c r="E78" s="34"/>
      <c r="F78" s="34">
        <v>0</v>
      </c>
      <c r="G78" s="34">
        <f t="shared" si="6"/>
        <v>0</v>
      </c>
      <c r="H78" s="34">
        <f t="shared" si="7"/>
        <v>8000000</v>
      </c>
      <c r="I78" s="201">
        <f t="shared" si="8"/>
        <v>0</v>
      </c>
      <c r="J78" s="221"/>
      <c r="K78" s="1"/>
    </row>
    <row r="79" spans="1:11" ht="15">
      <c r="A79" s="33">
        <v>13310102</v>
      </c>
      <c r="B79" s="311" t="s">
        <v>1178</v>
      </c>
      <c r="C79" s="312"/>
      <c r="D79" s="71">
        <v>8000000</v>
      </c>
      <c r="E79" s="34"/>
      <c r="F79" s="34">
        <v>0</v>
      </c>
      <c r="G79" s="34">
        <f t="shared" si="6"/>
        <v>0</v>
      </c>
      <c r="H79" s="34">
        <f t="shared" si="7"/>
        <v>8000000</v>
      </c>
      <c r="I79" s="201">
        <f t="shared" si="8"/>
        <v>0</v>
      </c>
      <c r="J79" s="221"/>
      <c r="K79" s="1"/>
    </row>
    <row r="80" spans="1:11" ht="15">
      <c r="A80" s="33">
        <v>13310102</v>
      </c>
      <c r="B80" s="311" t="s">
        <v>1179</v>
      </c>
      <c r="C80" s="312"/>
      <c r="D80" s="71">
        <v>9960000</v>
      </c>
      <c r="E80" s="34"/>
      <c r="F80" s="34">
        <v>0</v>
      </c>
      <c r="G80" s="34">
        <f t="shared" si="6"/>
        <v>0</v>
      </c>
      <c r="H80" s="34">
        <f t="shared" si="7"/>
        <v>9960000</v>
      </c>
      <c r="I80" s="201">
        <f t="shared" si="8"/>
        <v>0</v>
      </c>
      <c r="J80" s="221"/>
      <c r="K80" s="1"/>
    </row>
    <row r="81" spans="1:11" ht="15">
      <c r="A81" s="33">
        <v>13310102</v>
      </c>
      <c r="B81" s="314" t="s">
        <v>1181</v>
      </c>
      <c r="C81" s="314"/>
      <c r="D81" s="34">
        <v>8296000</v>
      </c>
      <c r="E81" s="34"/>
      <c r="F81" s="34">
        <v>0</v>
      </c>
      <c r="G81" s="34">
        <f t="shared" si="6"/>
        <v>0</v>
      </c>
      <c r="H81" s="34">
        <f t="shared" si="7"/>
        <v>8296000</v>
      </c>
      <c r="I81" s="201">
        <f t="shared" si="8"/>
        <v>0</v>
      </c>
      <c r="J81" s="221"/>
      <c r="K81" s="1"/>
    </row>
    <row r="82" spans="1:11" ht="15">
      <c r="A82" s="33">
        <v>13310102</v>
      </c>
      <c r="B82" s="341" t="s">
        <v>1182</v>
      </c>
      <c r="C82" s="342"/>
      <c r="D82" s="58">
        <v>6000000</v>
      </c>
      <c r="E82" s="34"/>
      <c r="F82" s="34">
        <v>0</v>
      </c>
      <c r="G82" s="34">
        <f t="shared" si="6"/>
        <v>0</v>
      </c>
      <c r="H82" s="34">
        <f t="shared" si="7"/>
        <v>6000000</v>
      </c>
      <c r="I82" s="201">
        <f t="shared" si="8"/>
        <v>0</v>
      </c>
      <c r="J82" s="221"/>
      <c r="K82" s="1"/>
    </row>
    <row r="83" spans="1:11" ht="15.75" thickBot="1">
      <c r="A83" s="40"/>
      <c r="B83" s="328" t="s">
        <v>36</v>
      </c>
      <c r="C83" s="328"/>
      <c r="D83" s="49">
        <f>+D67+D68+D69+D70+D71+D72+D73+D74+D75+D76+D77+D78+D79+D80+D81+D82</f>
        <v>1390901000</v>
      </c>
      <c r="E83" s="49">
        <f>SUM(E67:E82)</f>
        <v>0</v>
      </c>
      <c r="F83" s="49">
        <f>SUM(F67:F82)</f>
        <v>0</v>
      </c>
      <c r="G83" s="49">
        <f>SUM(G67:G82)</f>
        <v>0</v>
      </c>
      <c r="H83" s="49">
        <f>SUM(H67:H82)</f>
        <v>1390901000</v>
      </c>
      <c r="I83" s="45">
        <f>G83/D83*100</f>
        <v>0</v>
      </c>
      <c r="J83" s="221"/>
      <c r="K83" s="1"/>
    </row>
    <row r="84" spans="1:11" ht="15.75" thickTop="1">
      <c r="A84" s="2"/>
      <c r="B84" s="329" t="s">
        <v>1148</v>
      </c>
      <c r="C84" s="329"/>
      <c r="D84" s="19"/>
      <c r="E84" s="19"/>
      <c r="F84" s="19"/>
      <c r="G84" s="19"/>
      <c r="H84" s="19"/>
      <c r="I84" s="171"/>
      <c r="K84" s="1"/>
    </row>
    <row r="85" spans="1:11" ht="15">
      <c r="A85" s="33">
        <v>130120</v>
      </c>
      <c r="B85" s="314" t="s">
        <v>1163</v>
      </c>
      <c r="C85" s="314"/>
      <c r="D85" s="206">
        <f>54730000</f>
        <v>54730000</v>
      </c>
      <c r="E85" s="34"/>
      <c r="F85" s="35">
        <v>0</v>
      </c>
      <c r="G85" s="34">
        <f>+E85+F85</f>
        <v>0</v>
      </c>
      <c r="H85" s="34">
        <f>+D85-G85</f>
        <v>54730000</v>
      </c>
      <c r="I85" s="156">
        <f>G85/D85*100</f>
        <v>0</v>
      </c>
      <c r="K85" s="1"/>
    </row>
    <row r="86" spans="1:11" ht="15">
      <c r="A86" s="33">
        <v>130120</v>
      </c>
      <c r="B86" s="311" t="s">
        <v>1210</v>
      </c>
      <c r="C86" s="312"/>
      <c r="D86" s="206">
        <v>1500000000</v>
      </c>
      <c r="E86" s="34"/>
      <c r="F86" s="35"/>
      <c r="G86" s="34">
        <f aca="true" t="shared" si="9" ref="G86:G101">+E86+F86</f>
        <v>0</v>
      </c>
      <c r="H86" s="34">
        <f>+D86-G86</f>
        <v>1500000000</v>
      </c>
      <c r="I86" s="156">
        <f>G86/D86*100</f>
        <v>0</v>
      </c>
      <c r="K86" s="1"/>
    </row>
    <row r="87" spans="1:11" ht="15">
      <c r="A87" s="33"/>
      <c r="B87" s="236" t="s">
        <v>1205</v>
      </c>
      <c r="C87" s="237"/>
      <c r="D87" s="206">
        <v>106206350</v>
      </c>
      <c r="E87" s="34"/>
      <c r="F87" s="35"/>
      <c r="G87" s="34">
        <f t="shared" si="9"/>
        <v>0</v>
      </c>
      <c r="H87" s="34">
        <f>+D87-G87</f>
        <v>106206350</v>
      </c>
      <c r="I87" s="156">
        <f>G87/D87*100</f>
        <v>0</v>
      </c>
      <c r="K87" s="1"/>
    </row>
    <row r="88" spans="1:11" ht="15">
      <c r="A88" s="33">
        <v>130114</v>
      </c>
      <c r="B88" s="311" t="s">
        <v>1209</v>
      </c>
      <c r="C88" s="312"/>
      <c r="D88" s="206">
        <v>483611000</v>
      </c>
      <c r="E88" s="34"/>
      <c r="F88" s="34"/>
      <c r="G88" s="34">
        <f t="shared" si="9"/>
        <v>0</v>
      </c>
      <c r="H88" s="34">
        <f>+D88-G88</f>
        <v>483611000</v>
      </c>
      <c r="I88" s="156">
        <f>G88/D88*100</f>
        <v>0</v>
      </c>
      <c r="K88" s="1"/>
    </row>
    <row r="89" spans="1:9" ht="15">
      <c r="A89" s="205"/>
      <c r="B89" s="330" t="s">
        <v>1149</v>
      </c>
      <c r="C89" s="330"/>
      <c r="D89" s="213">
        <f>SUM(D85:D88)</f>
        <v>2144547350</v>
      </c>
      <c r="E89" s="213">
        <f>SUM(E85:E88)</f>
        <v>0</v>
      </c>
      <c r="F89" s="213">
        <f>SUM(F85:F88)</f>
        <v>0</v>
      </c>
      <c r="G89" s="34">
        <f t="shared" si="9"/>
        <v>0</v>
      </c>
      <c r="H89" s="213">
        <f>SUM(H85:H88)</f>
        <v>2144547350</v>
      </c>
      <c r="I89" s="156">
        <f>G89/D89*100</f>
        <v>0</v>
      </c>
    </row>
    <row r="90" spans="1:11" ht="15">
      <c r="A90" s="2"/>
      <c r="B90" s="329" t="s">
        <v>1152</v>
      </c>
      <c r="C90" s="329"/>
      <c r="D90" s="214"/>
      <c r="E90" s="19"/>
      <c r="F90" s="19"/>
      <c r="G90" s="34">
        <f t="shared" si="9"/>
        <v>0</v>
      </c>
      <c r="H90" s="19"/>
      <c r="I90" s="171"/>
      <c r="K90" s="1"/>
    </row>
    <row r="91" spans="1:11" ht="15">
      <c r="A91" s="33">
        <v>13110105</v>
      </c>
      <c r="B91" s="232" t="s">
        <v>1203</v>
      </c>
      <c r="C91" s="233"/>
      <c r="D91" s="206">
        <v>446310000</v>
      </c>
      <c r="E91" s="34"/>
      <c r="F91" s="216">
        <v>0</v>
      </c>
      <c r="G91" s="34">
        <f t="shared" si="9"/>
        <v>0</v>
      </c>
      <c r="H91" s="34">
        <f>+D91-G91</f>
        <v>446310000</v>
      </c>
      <c r="I91" s="156">
        <f>G91/D91*100</f>
        <v>0</v>
      </c>
      <c r="K91" s="161"/>
    </row>
    <row r="92" spans="1:11" ht="15">
      <c r="A92" s="33">
        <v>13110105</v>
      </c>
      <c r="B92" s="311" t="s">
        <v>1155</v>
      </c>
      <c r="C92" s="312"/>
      <c r="D92" s="206">
        <v>511982000</v>
      </c>
      <c r="E92" s="206"/>
      <c r="F92" s="206">
        <v>0</v>
      </c>
      <c r="G92" s="34">
        <f t="shared" si="9"/>
        <v>0</v>
      </c>
      <c r="H92" s="34">
        <f aca="true" t="shared" si="10" ref="H92:H100">+D92-G92</f>
        <v>511982000</v>
      </c>
      <c r="I92" s="156">
        <f aca="true" t="shared" si="11" ref="I92:I101">G92/D92*100</f>
        <v>0</v>
      </c>
      <c r="K92" s="1"/>
    </row>
    <row r="93" spans="1:11" ht="15">
      <c r="A93" s="33">
        <v>13120158</v>
      </c>
      <c r="B93" s="232" t="s">
        <v>1201</v>
      </c>
      <c r="C93" s="229"/>
      <c r="D93" s="206">
        <v>98970000</v>
      </c>
      <c r="E93" s="34"/>
      <c r="F93" s="206">
        <v>0</v>
      </c>
      <c r="G93" s="34">
        <f t="shared" si="9"/>
        <v>0</v>
      </c>
      <c r="H93" s="34">
        <f t="shared" si="10"/>
        <v>98970000</v>
      </c>
      <c r="I93" s="156">
        <f t="shared" si="11"/>
        <v>0</v>
      </c>
      <c r="K93" s="1"/>
    </row>
    <row r="94" spans="1:11" ht="15">
      <c r="A94" s="33">
        <v>13120159</v>
      </c>
      <c r="B94" s="236" t="s">
        <v>1206</v>
      </c>
      <c r="C94" s="237"/>
      <c r="D94" s="206">
        <v>328900000</v>
      </c>
      <c r="E94" s="34"/>
      <c r="F94" s="206"/>
      <c r="G94" s="34">
        <f t="shared" si="9"/>
        <v>0</v>
      </c>
      <c r="H94" s="34">
        <f t="shared" si="10"/>
        <v>328900000</v>
      </c>
      <c r="I94" s="156">
        <f t="shared" si="11"/>
        <v>0</v>
      </c>
      <c r="K94" s="1"/>
    </row>
    <row r="95" spans="1:11" ht="15">
      <c r="A95" s="33">
        <v>130123</v>
      </c>
      <c r="B95" s="232" t="s">
        <v>1186</v>
      </c>
      <c r="C95" s="229"/>
      <c r="D95" s="206">
        <v>125245000</v>
      </c>
      <c r="E95" s="34"/>
      <c r="F95" s="206">
        <v>125245000</v>
      </c>
      <c r="G95" s="34">
        <f t="shared" si="9"/>
        <v>125245000</v>
      </c>
      <c r="H95" s="34">
        <f t="shared" si="10"/>
        <v>0</v>
      </c>
      <c r="I95" s="156">
        <f t="shared" si="11"/>
        <v>100</v>
      </c>
      <c r="K95" s="1"/>
    </row>
    <row r="96" spans="1:11" ht="15">
      <c r="A96" s="33">
        <v>13120184</v>
      </c>
      <c r="B96" s="236" t="s">
        <v>1207</v>
      </c>
      <c r="C96" s="237"/>
      <c r="D96" s="206">
        <v>35500000</v>
      </c>
      <c r="E96" s="34"/>
      <c r="F96" s="34"/>
      <c r="G96" s="34">
        <f t="shared" si="9"/>
        <v>0</v>
      </c>
      <c r="H96" s="34">
        <f t="shared" si="10"/>
        <v>35500000</v>
      </c>
      <c r="I96" s="156">
        <f t="shared" si="11"/>
        <v>0</v>
      </c>
      <c r="K96" s="1"/>
    </row>
    <row r="97" spans="1:11" ht="15">
      <c r="A97" s="33">
        <v>13210127</v>
      </c>
      <c r="B97" s="314" t="s">
        <v>1202</v>
      </c>
      <c r="C97" s="314"/>
      <c r="D97" s="206">
        <v>195171000</v>
      </c>
      <c r="E97" s="34"/>
      <c r="F97" s="34">
        <v>0</v>
      </c>
      <c r="G97" s="34">
        <f t="shared" si="9"/>
        <v>0</v>
      </c>
      <c r="H97" s="34">
        <f t="shared" si="10"/>
        <v>195171000</v>
      </c>
      <c r="I97" s="156">
        <f t="shared" si="11"/>
        <v>0</v>
      </c>
      <c r="K97" s="1"/>
    </row>
    <row r="98" spans="1:11" ht="15">
      <c r="A98" s="33">
        <v>130118</v>
      </c>
      <c r="B98" s="314" t="s">
        <v>1157</v>
      </c>
      <c r="C98" s="314"/>
      <c r="D98" s="206">
        <v>5733000</v>
      </c>
      <c r="E98" s="34"/>
      <c r="F98" s="34">
        <v>0</v>
      </c>
      <c r="G98" s="34">
        <f t="shared" si="9"/>
        <v>0</v>
      </c>
      <c r="H98" s="34">
        <f t="shared" si="10"/>
        <v>5733000</v>
      </c>
      <c r="I98" s="156">
        <f t="shared" si="11"/>
        <v>0</v>
      </c>
      <c r="K98" s="1"/>
    </row>
    <row r="99" spans="1:11" ht="15">
      <c r="A99" s="33">
        <v>130108</v>
      </c>
      <c r="B99" s="228" t="s">
        <v>1193</v>
      </c>
      <c r="C99" s="229"/>
      <c r="D99" s="206">
        <v>698377592</v>
      </c>
      <c r="E99" s="206"/>
      <c r="F99" s="206">
        <v>0</v>
      </c>
      <c r="G99" s="34">
        <f t="shared" si="9"/>
        <v>0</v>
      </c>
      <c r="H99" s="34">
        <f t="shared" si="10"/>
        <v>698377592</v>
      </c>
      <c r="I99" s="156">
        <f t="shared" si="11"/>
        <v>0</v>
      </c>
      <c r="K99" s="1"/>
    </row>
    <row r="100" spans="1:11" ht="15">
      <c r="A100" s="33">
        <v>130107</v>
      </c>
      <c r="B100" s="311" t="s">
        <v>168</v>
      </c>
      <c r="C100" s="312"/>
      <c r="D100" s="206">
        <v>16453446.77</v>
      </c>
      <c r="E100" s="216"/>
      <c r="F100" s="34">
        <v>0</v>
      </c>
      <c r="G100" s="34">
        <f t="shared" si="9"/>
        <v>0</v>
      </c>
      <c r="H100" s="34">
        <f t="shared" si="10"/>
        <v>16453446.77</v>
      </c>
      <c r="I100" s="156">
        <f t="shared" si="11"/>
        <v>0</v>
      </c>
      <c r="K100" s="1"/>
    </row>
    <row r="101" spans="1:11" ht="15">
      <c r="A101" s="33">
        <v>130121</v>
      </c>
      <c r="B101" s="311" t="s">
        <v>1086</v>
      </c>
      <c r="C101" s="312"/>
      <c r="D101" s="206">
        <v>1600000000</v>
      </c>
      <c r="E101" s="34"/>
      <c r="F101" s="34">
        <v>243312975</v>
      </c>
      <c r="G101" s="34">
        <f t="shared" si="9"/>
        <v>243312975</v>
      </c>
      <c r="H101" s="34">
        <f>+D101-G101</f>
        <v>1356687025</v>
      </c>
      <c r="I101" s="156">
        <f t="shared" si="11"/>
        <v>15.2070609375</v>
      </c>
      <c r="K101" s="1"/>
    </row>
    <row r="102" spans="1:9" ht="15">
      <c r="A102" s="205"/>
      <c r="B102" s="330" t="s">
        <v>1153</v>
      </c>
      <c r="C102" s="330"/>
      <c r="D102" s="172">
        <f>SUM(D91:D101)</f>
        <v>4062642038.77</v>
      </c>
      <c r="E102" s="172">
        <f>SUM(E91:E101)</f>
        <v>0</v>
      </c>
      <c r="F102" s="172">
        <f>SUM(F91:F101)</f>
        <v>368557975</v>
      </c>
      <c r="G102" s="172">
        <f>SUM(G91:G101)</f>
        <v>368557975</v>
      </c>
      <c r="H102" s="34">
        <f>+D102-G102</f>
        <v>3694084063.77</v>
      </c>
      <c r="I102" s="156">
        <f>G102/D102*100</f>
        <v>9.071879124048648</v>
      </c>
    </row>
    <row r="103" spans="1:9" ht="15.75" thickBot="1">
      <c r="A103" s="217"/>
      <c r="B103" s="328" t="s">
        <v>43</v>
      </c>
      <c r="C103" s="328"/>
      <c r="D103" s="219">
        <f>+D61+D65+D83+D89+D102</f>
        <v>29983894368.77</v>
      </c>
      <c r="E103" s="219">
        <f>+E61+E65+E83+E89+E102</f>
        <v>0</v>
      </c>
      <c r="F103" s="219">
        <f>+F61+F65+F83+F89+F102</f>
        <v>1625885264.16</v>
      </c>
      <c r="G103" s="219">
        <f>+G61+G65+G83+G89+G102</f>
        <v>1625885264.16</v>
      </c>
      <c r="H103" s="39">
        <f>+D103-G103</f>
        <v>28358009104.61</v>
      </c>
      <c r="I103" s="156">
        <f>G103/D103*100</f>
        <v>5.422528655428615</v>
      </c>
    </row>
    <row r="104" spans="1:9" ht="15.75" thickTop="1">
      <c r="A104" s="2"/>
      <c r="B104" s="16"/>
      <c r="C104" s="16"/>
      <c r="D104" s="14"/>
      <c r="E104" s="14"/>
      <c r="F104" s="14"/>
      <c r="G104" s="14"/>
      <c r="H104" s="14"/>
      <c r="I104" s="15"/>
    </row>
    <row r="105" spans="4:8" ht="15">
      <c r="D105" s="161"/>
      <c r="E105" s="161"/>
      <c r="F105" s="161"/>
      <c r="G105" s="161"/>
      <c r="H105" s="161"/>
    </row>
    <row r="106" ht="15">
      <c r="D106" s="161"/>
    </row>
    <row r="108" spans="4:5" ht="15">
      <c r="D108" s="161"/>
      <c r="E108" s="247"/>
    </row>
    <row r="109" spans="3:4" ht="15">
      <c r="C109" s="248"/>
      <c r="D109" s="161"/>
    </row>
    <row r="110" spans="4:7" ht="15">
      <c r="D110" s="161"/>
      <c r="E110" s="247"/>
      <c r="G110" s="3"/>
    </row>
    <row r="111" spans="4:7" ht="15">
      <c r="D111" s="161"/>
      <c r="E111" s="247"/>
      <c r="G111" s="3"/>
    </row>
    <row r="112" spans="3:5" ht="15">
      <c r="C112" s="248"/>
      <c r="D112" s="249"/>
      <c r="E112" s="247"/>
    </row>
    <row r="114" spans="4:5" ht="15">
      <c r="D114" s="161"/>
      <c r="E114" s="247"/>
    </row>
    <row r="115" ht="15">
      <c r="E115" s="247"/>
    </row>
    <row r="116" spans="4:5" ht="15">
      <c r="D116" s="161"/>
      <c r="E116" s="247"/>
    </row>
  </sheetData>
  <sheetProtection/>
  <mergeCells count="86"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42:C42"/>
    <mergeCell ref="B28:C28"/>
    <mergeCell ref="B29:C29"/>
    <mergeCell ref="B32:C32"/>
    <mergeCell ref="B33:C33"/>
    <mergeCell ref="B34:C34"/>
    <mergeCell ref="B36:C36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48:C48"/>
    <mergeCell ref="B49:C49"/>
    <mergeCell ref="B52:C52"/>
    <mergeCell ref="D53:I53"/>
    <mergeCell ref="B54:C54"/>
    <mergeCell ref="B58:C58"/>
    <mergeCell ref="B60:C60"/>
    <mergeCell ref="B61:C61"/>
    <mergeCell ref="B62:C62"/>
    <mergeCell ref="A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B76:C76"/>
    <mergeCell ref="B77:C77"/>
    <mergeCell ref="B78:C78"/>
    <mergeCell ref="B79:C79"/>
    <mergeCell ref="B85:C85"/>
    <mergeCell ref="B86:C86"/>
    <mergeCell ref="B88:C88"/>
    <mergeCell ref="B89:C89"/>
    <mergeCell ref="B90:C90"/>
    <mergeCell ref="B80:C80"/>
    <mergeCell ref="B81:C81"/>
    <mergeCell ref="B82:C82"/>
    <mergeCell ref="B83:C83"/>
    <mergeCell ref="B84:C84"/>
    <mergeCell ref="B103:C103"/>
    <mergeCell ref="B92:C92"/>
    <mergeCell ref="B98:C98"/>
    <mergeCell ref="B100:C100"/>
    <mergeCell ref="B101:C101"/>
    <mergeCell ref="B102:C102"/>
    <mergeCell ref="B97:C97"/>
  </mergeCells>
  <printOptions/>
  <pageMargins left="0.7" right="0.7" top="0.75" bottom="0.75" header="0.3" footer="0.3"/>
  <pageSetup firstPageNumber="3" useFirstPageNumber="1" orientation="landscape" scale="70" r:id="rId4"/>
  <headerFooter>
    <oddFooter>&amp;CPage &amp;P&amp;RTAARIFA ZA MAPATO 2017 juni FINANCE 2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16"/>
  <sheetViews>
    <sheetView zoomScalePageLayoutView="0" workbookViewId="0" topLeftCell="A34">
      <selection activeCell="F70" sqref="F70"/>
    </sheetView>
  </sheetViews>
  <sheetFormatPr defaultColWidth="9.140625" defaultRowHeight="15"/>
  <cols>
    <col min="1" max="1" width="11.140625" style="0" customWidth="1"/>
    <col min="3" max="3" width="41.7109375" style="0" customWidth="1"/>
    <col min="4" max="4" width="22.8515625" style="1" customWidth="1"/>
    <col min="5" max="5" width="22.28125" style="1" customWidth="1"/>
    <col min="6" max="6" width="18.7109375" style="1" customWidth="1"/>
    <col min="7" max="7" width="18.57421875" style="0" customWidth="1"/>
    <col min="8" max="8" width="18.7109375" style="0" customWidth="1"/>
    <col min="9" max="9" width="7.8515625" style="0" customWidth="1"/>
    <col min="10" max="10" width="8.00390625" style="0" customWidth="1"/>
    <col min="11" max="11" width="18.00390625" style="0" bestFit="1" customWidth="1"/>
    <col min="12" max="12" width="16.8515625" style="0" bestFit="1" customWidth="1"/>
    <col min="13" max="13" width="15.28125" style="0" bestFit="1" customWidth="1"/>
  </cols>
  <sheetData>
    <row r="1" ht="70.5" customHeight="1"/>
    <row r="2" spans="1:11" ht="23.25">
      <c r="A2" s="344" t="s">
        <v>45</v>
      </c>
      <c r="B2" s="344"/>
      <c r="C2" s="344"/>
      <c r="D2" s="344"/>
      <c r="E2" s="344"/>
      <c r="F2" s="344"/>
      <c r="G2" s="344"/>
      <c r="H2" s="344"/>
      <c r="I2" s="344"/>
      <c r="K2" s="1"/>
    </row>
    <row r="3" spans="1:11" ht="18">
      <c r="A3" s="320" t="s">
        <v>1214</v>
      </c>
      <c r="B3" s="320"/>
      <c r="C3" s="320"/>
      <c r="D3" s="320"/>
      <c r="E3" s="320"/>
      <c r="F3" s="320"/>
      <c r="G3" s="320"/>
      <c r="H3" s="320"/>
      <c r="I3" s="320"/>
      <c r="J3" t="s">
        <v>1185</v>
      </c>
      <c r="K3" s="1"/>
    </row>
    <row r="4" spans="1:11" ht="15">
      <c r="A4" s="321"/>
      <c r="B4" s="322" t="s">
        <v>0</v>
      </c>
      <c r="C4" s="322"/>
      <c r="D4" s="323" t="s">
        <v>1188</v>
      </c>
      <c r="E4" s="324" t="s">
        <v>1197</v>
      </c>
      <c r="F4" s="326" t="s">
        <v>1219</v>
      </c>
      <c r="G4" s="324" t="s">
        <v>1220</v>
      </c>
      <c r="H4" s="322" t="s">
        <v>2</v>
      </c>
      <c r="I4" s="322" t="s">
        <v>1187</v>
      </c>
      <c r="K4" s="1"/>
    </row>
    <row r="5" spans="1:11" ht="15">
      <c r="A5" s="321"/>
      <c r="B5" s="322"/>
      <c r="C5" s="322"/>
      <c r="D5" s="323"/>
      <c r="E5" s="325"/>
      <c r="F5" s="326"/>
      <c r="G5" s="325"/>
      <c r="H5" s="322"/>
      <c r="I5" s="322"/>
      <c r="K5" s="1"/>
    </row>
    <row r="6" spans="1:11" ht="15">
      <c r="A6" s="203"/>
      <c r="B6" s="363" t="s">
        <v>4</v>
      </c>
      <c r="C6" s="363"/>
      <c r="D6" s="60"/>
      <c r="E6" s="60">
        <v>0</v>
      </c>
      <c r="F6" s="60">
        <v>0</v>
      </c>
      <c r="G6" s="60">
        <f>+E6+F6</f>
        <v>0</v>
      </c>
      <c r="H6" s="60"/>
      <c r="I6" s="40"/>
      <c r="K6" s="1"/>
    </row>
    <row r="7" spans="1:11" ht="15">
      <c r="A7" s="46">
        <v>11440112</v>
      </c>
      <c r="B7" s="312" t="s">
        <v>1189</v>
      </c>
      <c r="C7" s="314"/>
      <c r="D7" s="34">
        <v>2100000000</v>
      </c>
      <c r="E7" s="34">
        <v>0</v>
      </c>
      <c r="F7" s="207">
        <v>122770070.04</v>
      </c>
      <c r="G7" s="60">
        <f aca="true" t="shared" si="0" ref="G7:G18">+E7+F7</f>
        <v>122770070.04</v>
      </c>
      <c r="H7" s="34">
        <f>+D7-G7</f>
        <v>1977229929.96</v>
      </c>
      <c r="I7" s="201">
        <f>+G7/D7*100</f>
        <v>5.846193811428572</v>
      </c>
      <c r="K7" s="1"/>
    </row>
    <row r="8" spans="1:11" ht="15">
      <c r="A8" s="46">
        <v>11440112</v>
      </c>
      <c r="B8" s="312" t="s">
        <v>1191</v>
      </c>
      <c r="C8" s="314"/>
      <c r="D8" s="34">
        <v>1000000000</v>
      </c>
      <c r="E8" s="34">
        <v>2978029.63</v>
      </c>
      <c r="F8" s="207">
        <v>0</v>
      </c>
      <c r="G8" s="60">
        <f t="shared" si="0"/>
        <v>2978029.63</v>
      </c>
      <c r="H8" s="34">
        <f aca="true" t="shared" si="1" ref="H8:H18">+D8-G8</f>
        <v>997021970.37</v>
      </c>
      <c r="I8" s="201">
        <f aca="true" t="shared" si="2" ref="I8:I18">+G8/D8*100</f>
        <v>0.297802963</v>
      </c>
      <c r="K8" s="1"/>
    </row>
    <row r="9" spans="1:11" ht="15">
      <c r="A9" s="46">
        <v>14220122</v>
      </c>
      <c r="B9" s="312" t="s">
        <v>7</v>
      </c>
      <c r="C9" s="314"/>
      <c r="D9" s="34">
        <v>7000000</v>
      </c>
      <c r="E9" s="34">
        <v>0</v>
      </c>
      <c r="F9" s="66"/>
      <c r="G9" s="60">
        <f t="shared" si="0"/>
        <v>0</v>
      </c>
      <c r="H9" s="34">
        <f t="shared" si="1"/>
        <v>7000000</v>
      </c>
      <c r="I9" s="201">
        <f t="shared" si="2"/>
        <v>0</v>
      </c>
      <c r="K9" s="1"/>
    </row>
    <row r="10" spans="1:11" ht="15">
      <c r="A10" s="46">
        <v>14220181</v>
      </c>
      <c r="B10" s="312" t="s">
        <v>8</v>
      </c>
      <c r="C10" s="314"/>
      <c r="D10" s="34">
        <v>66240000</v>
      </c>
      <c r="E10" s="34">
        <v>2300000</v>
      </c>
      <c r="F10" s="66">
        <v>1245500</v>
      </c>
      <c r="G10" s="60">
        <f t="shared" si="0"/>
        <v>3545500</v>
      </c>
      <c r="H10" s="34">
        <f t="shared" si="1"/>
        <v>62694500</v>
      </c>
      <c r="I10" s="201">
        <f t="shared" si="2"/>
        <v>5.352506038647343</v>
      </c>
      <c r="K10" s="1"/>
    </row>
    <row r="11" spans="1:11" ht="15">
      <c r="A11" s="46">
        <v>14220182</v>
      </c>
      <c r="B11" s="311" t="s">
        <v>9</v>
      </c>
      <c r="C11" s="312"/>
      <c r="D11" s="34">
        <v>9000000</v>
      </c>
      <c r="E11" s="34">
        <v>0</v>
      </c>
      <c r="F11" s="66"/>
      <c r="G11" s="60">
        <f t="shared" si="0"/>
        <v>0</v>
      </c>
      <c r="H11" s="34">
        <f t="shared" si="1"/>
        <v>9000000</v>
      </c>
      <c r="I11" s="201">
        <f t="shared" si="2"/>
        <v>0</v>
      </c>
      <c r="K11" s="1" t="s">
        <v>1215</v>
      </c>
    </row>
    <row r="12" spans="1:11" ht="15">
      <c r="A12" s="46">
        <v>11310101</v>
      </c>
      <c r="B12" s="312" t="s">
        <v>1200</v>
      </c>
      <c r="C12" s="314"/>
      <c r="D12" s="34">
        <v>12760000</v>
      </c>
      <c r="E12" s="34">
        <v>0</v>
      </c>
      <c r="F12" s="66"/>
      <c r="G12" s="60">
        <f t="shared" si="0"/>
        <v>0</v>
      </c>
      <c r="H12" s="34">
        <f t="shared" si="1"/>
        <v>12760000</v>
      </c>
      <c r="I12" s="201">
        <f t="shared" si="2"/>
        <v>0</v>
      </c>
      <c r="K12" s="1"/>
    </row>
    <row r="13" spans="1:11" ht="15">
      <c r="A13" s="46">
        <v>11451115</v>
      </c>
      <c r="B13" s="345" t="s">
        <v>67</v>
      </c>
      <c r="C13" s="312"/>
      <c r="D13" s="71">
        <v>95424000</v>
      </c>
      <c r="E13" s="34">
        <v>2252000</v>
      </c>
      <c r="F13" s="207">
        <f>2042400-1000000</f>
        <v>1042400</v>
      </c>
      <c r="G13" s="60">
        <f t="shared" si="0"/>
        <v>3294400</v>
      </c>
      <c r="H13" s="34">
        <f t="shared" si="1"/>
        <v>92129600</v>
      </c>
      <c r="I13" s="201">
        <f t="shared" si="2"/>
        <v>3.4523809523809526</v>
      </c>
      <c r="J13" s="221"/>
      <c r="K13" s="1"/>
    </row>
    <row r="14" spans="1:11" ht="15">
      <c r="A14" s="46">
        <v>11310104</v>
      </c>
      <c r="B14" s="241" t="s">
        <v>1196</v>
      </c>
      <c r="C14" s="239"/>
      <c r="D14" s="71">
        <v>195000000</v>
      </c>
      <c r="E14" s="34">
        <v>200000</v>
      </c>
      <c r="F14" s="207">
        <v>0</v>
      </c>
      <c r="G14" s="60">
        <f t="shared" si="0"/>
        <v>200000</v>
      </c>
      <c r="H14" s="34">
        <f t="shared" si="1"/>
        <v>194800000</v>
      </c>
      <c r="I14" s="201">
        <f t="shared" si="2"/>
        <v>0.10256410256410256</v>
      </c>
      <c r="J14" s="221"/>
      <c r="K14" s="1"/>
    </row>
    <row r="15" spans="1:11" ht="15">
      <c r="A15" s="46">
        <v>14112105</v>
      </c>
      <c r="B15" s="312" t="s">
        <v>6</v>
      </c>
      <c r="C15" s="314"/>
      <c r="D15" s="34">
        <v>69483000</v>
      </c>
      <c r="E15" s="34">
        <v>12679639.54</v>
      </c>
      <c r="F15" s="207">
        <f>1505525.8+600000</f>
        <v>2105525.8</v>
      </c>
      <c r="G15" s="60">
        <f t="shared" si="0"/>
        <v>14785165.34</v>
      </c>
      <c r="H15" s="34">
        <f t="shared" si="1"/>
        <v>54697834.66</v>
      </c>
      <c r="I15" s="201">
        <f t="shared" si="2"/>
        <v>21.278824086467193</v>
      </c>
      <c r="K15" s="1"/>
    </row>
    <row r="16" spans="1:11" ht="15">
      <c r="A16" s="46">
        <v>11460101</v>
      </c>
      <c r="B16" s="241" t="s">
        <v>1192</v>
      </c>
      <c r="C16" s="239"/>
      <c r="D16" s="71">
        <v>168000000</v>
      </c>
      <c r="E16" s="71">
        <v>0</v>
      </c>
      <c r="F16" s="207"/>
      <c r="G16" s="60">
        <f t="shared" si="0"/>
        <v>0</v>
      </c>
      <c r="H16" s="34">
        <f t="shared" si="1"/>
        <v>168000000</v>
      </c>
      <c r="I16" s="201">
        <f t="shared" si="2"/>
        <v>0</v>
      </c>
      <c r="K16" s="1"/>
    </row>
    <row r="17" spans="1:11" ht="15">
      <c r="A17" s="46">
        <v>14220103</v>
      </c>
      <c r="B17" s="345" t="s">
        <v>1143</v>
      </c>
      <c r="C17" s="312"/>
      <c r="D17" s="71">
        <v>1700000</v>
      </c>
      <c r="E17" s="71">
        <v>0</v>
      </c>
      <c r="F17" s="207">
        <f>90150+1000</f>
        <v>91150</v>
      </c>
      <c r="G17" s="60">
        <f t="shared" si="0"/>
        <v>91150</v>
      </c>
      <c r="H17" s="34">
        <f t="shared" si="1"/>
        <v>1608850</v>
      </c>
      <c r="I17" s="201">
        <f t="shared" si="2"/>
        <v>5.3617647058823525</v>
      </c>
      <c r="K17" s="1"/>
    </row>
    <row r="18" spans="1:11" ht="15">
      <c r="A18" s="46">
        <v>11450103</v>
      </c>
      <c r="B18" s="345" t="s">
        <v>1099</v>
      </c>
      <c r="C18" s="312"/>
      <c r="D18" s="71">
        <v>200000000</v>
      </c>
      <c r="E18" s="71">
        <v>500000</v>
      </c>
      <c r="F18" s="207">
        <f>1400000+1900000</f>
        <v>3300000</v>
      </c>
      <c r="G18" s="60">
        <f t="shared" si="0"/>
        <v>3800000</v>
      </c>
      <c r="H18" s="34">
        <f t="shared" si="1"/>
        <v>196200000</v>
      </c>
      <c r="I18" s="201">
        <f t="shared" si="2"/>
        <v>1.9</v>
      </c>
      <c r="K18" s="1"/>
    </row>
    <row r="19" spans="1:11" ht="15.75" thickBot="1">
      <c r="A19" s="46"/>
      <c r="B19" s="346" t="s">
        <v>3</v>
      </c>
      <c r="C19" s="313"/>
      <c r="D19" s="49">
        <f>+D7+D8+D9+D10+D11+D12+D13+D14+D15+D16+D17+D18</f>
        <v>3924607000</v>
      </c>
      <c r="E19" s="49">
        <f>+E7+E8+E9+E10+E11+E12+E13+E14+E15+E16+E17+E18</f>
        <v>20909669.169999998</v>
      </c>
      <c r="F19" s="49">
        <f>+F7+F8+F9+F10+F11+F12+F13+F14+F15+F16+F17+F18</f>
        <v>130554645.84</v>
      </c>
      <c r="G19" s="49">
        <f>+G7+G8+G9+G10+G11+G12+G13+G14+G15+G16+G17+G18</f>
        <v>151464315.01</v>
      </c>
      <c r="H19" s="49">
        <f>H7+H8+H9+H10+H11+H12+H13+H15+H16+H17+H18</f>
        <v>3578342684.99</v>
      </c>
      <c r="I19" s="201">
        <f>+G19/D19*100</f>
        <v>3.859349866368785</v>
      </c>
      <c r="K19" s="1" t="s">
        <v>1216</v>
      </c>
    </row>
    <row r="20" spans="1:11" ht="15.75" thickTop="1">
      <c r="A20" s="9"/>
      <c r="B20" s="10"/>
      <c r="C20" s="10"/>
      <c r="D20" s="19"/>
      <c r="E20" s="19"/>
      <c r="F20" s="19"/>
      <c r="G20" s="19"/>
      <c r="H20" s="19"/>
      <c r="I20" s="165"/>
      <c r="K20" s="1"/>
    </row>
    <row r="21" spans="1:11" ht="15">
      <c r="A21" s="9"/>
      <c r="B21" s="327" t="s">
        <v>10</v>
      </c>
      <c r="C21" s="327"/>
      <c r="D21" s="19"/>
      <c r="E21" s="19"/>
      <c r="F21" s="19"/>
      <c r="G21" s="19"/>
      <c r="H21" s="19"/>
      <c r="I21" s="165"/>
      <c r="K21" s="1"/>
    </row>
    <row r="22" spans="1:11" ht="15">
      <c r="A22" s="46">
        <v>11610140</v>
      </c>
      <c r="B22" s="314" t="s">
        <v>12</v>
      </c>
      <c r="C22" s="314"/>
      <c r="D22" s="34">
        <v>4800000</v>
      </c>
      <c r="E22" s="34">
        <v>80000</v>
      </c>
      <c r="F22" s="66">
        <v>0</v>
      </c>
      <c r="G22" s="34">
        <f>+E22+F22</f>
        <v>80000</v>
      </c>
      <c r="H22" s="34">
        <f>+D22-G22</f>
        <v>4720000</v>
      </c>
      <c r="I22" s="201">
        <f>G22/D22*100</f>
        <v>1.6666666666666667</v>
      </c>
      <c r="K22" s="1"/>
    </row>
    <row r="23" spans="1:12" ht="15">
      <c r="A23" s="46">
        <v>11610103</v>
      </c>
      <c r="B23" s="314" t="s">
        <v>13</v>
      </c>
      <c r="C23" s="314"/>
      <c r="D23" s="34">
        <v>101200000</v>
      </c>
      <c r="E23" s="34">
        <v>5780000</v>
      </c>
      <c r="F23" s="164">
        <v>3480000</v>
      </c>
      <c r="G23" s="34">
        <f>+E23+F23</f>
        <v>9260000</v>
      </c>
      <c r="H23" s="34">
        <f>+D23-G23</f>
        <v>91940000</v>
      </c>
      <c r="I23" s="201">
        <f>G23/D23*100</f>
        <v>9.150197628458498</v>
      </c>
      <c r="K23" s="1"/>
      <c r="L23" t="s">
        <v>1217</v>
      </c>
    </row>
    <row r="24" spans="1:11" ht="15">
      <c r="A24" s="46">
        <v>11310103</v>
      </c>
      <c r="B24" s="314" t="s">
        <v>11</v>
      </c>
      <c r="C24" s="314"/>
      <c r="D24" s="34">
        <v>22764000</v>
      </c>
      <c r="E24" s="34">
        <v>583100</v>
      </c>
      <c r="F24" s="34">
        <v>1214500</v>
      </c>
      <c r="G24" s="34">
        <f>+E24+F24</f>
        <v>1797600</v>
      </c>
      <c r="H24" s="34">
        <f>+D24-G24</f>
        <v>20966400</v>
      </c>
      <c r="I24" s="201">
        <f>G24/D24*100</f>
        <v>7.8966789667896675</v>
      </c>
      <c r="K24" s="1"/>
    </row>
    <row r="25" spans="1:11" ht="15.75" thickBot="1">
      <c r="A25" s="40"/>
      <c r="B25" s="313" t="s">
        <v>3</v>
      </c>
      <c r="C25" s="313"/>
      <c r="D25" s="49">
        <f>SUM(D22:D24)</f>
        <v>128764000</v>
      </c>
      <c r="E25" s="49">
        <f>SUM(E22:E24)</f>
        <v>6443100</v>
      </c>
      <c r="F25" s="49">
        <f>SUM(F22:F24)</f>
        <v>4694500</v>
      </c>
      <c r="G25" s="49">
        <f>SUM(G22:G24)</f>
        <v>11137600</v>
      </c>
      <c r="H25" s="49">
        <f>SUM(H22:H24)</f>
        <v>117626400</v>
      </c>
      <c r="I25" s="45">
        <f>G25/D25*100</f>
        <v>8.649622565313287</v>
      </c>
      <c r="K25" s="1"/>
    </row>
    <row r="26" spans="1:11" ht="15.75" thickTop="1">
      <c r="A26" s="9"/>
      <c r="B26" s="70"/>
      <c r="C26" s="70"/>
      <c r="D26" s="67"/>
      <c r="E26" s="67"/>
      <c r="F26" s="26"/>
      <c r="G26" s="21"/>
      <c r="H26" s="21"/>
      <c r="I26" s="166"/>
      <c r="K26" s="247" t="s">
        <v>53</v>
      </c>
    </row>
    <row r="27" spans="1:11" ht="15">
      <c r="A27" s="9"/>
      <c r="B27" s="327" t="s">
        <v>15</v>
      </c>
      <c r="C27" s="327"/>
      <c r="D27" s="19"/>
      <c r="E27" s="19"/>
      <c r="F27" s="19"/>
      <c r="G27" s="19"/>
      <c r="H27" s="19"/>
      <c r="I27" s="165"/>
      <c r="K27" s="1"/>
    </row>
    <row r="28" spans="1:11" ht="15">
      <c r="A28" s="46">
        <v>110809</v>
      </c>
      <c r="B28" s="314" t="s">
        <v>16</v>
      </c>
      <c r="C28" s="314"/>
      <c r="D28" s="34">
        <v>115000000</v>
      </c>
      <c r="E28" s="34">
        <v>88000</v>
      </c>
      <c r="F28" s="34">
        <v>1977000</v>
      </c>
      <c r="G28" s="34">
        <f aca="true" t="shared" si="3" ref="G28:G33">+E28+F28</f>
        <v>2065000</v>
      </c>
      <c r="H28" s="34">
        <f aca="true" t="shared" si="4" ref="H28:H33">+D28-G28</f>
        <v>112935000</v>
      </c>
      <c r="I28" s="201">
        <f aca="true" t="shared" si="5" ref="I28:I33">G28/D28*100</f>
        <v>1.7956521739130433</v>
      </c>
      <c r="K28" s="161"/>
    </row>
    <row r="29" spans="1:11" ht="15">
      <c r="A29" s="46">
        <v>110810</v>
      </c>
      <c r="B29" s="314" t="s">
        <v>17</v>
      </c>
      <c r="C29" s="314"/>
      <c r="D29" s="34">
        <v>83000000</v>
      </c>
      <c r="E29" s="34">
        <v>20779519.99</v>
      </c>
      <c r="F29" s="164">
        <f>1690000+5000000</f>
        <v>6690000</v>
      </c>
      <c r="G29" s="34">
        <f t="shared" si="3"/>
        <v>27469519.99</v>
      </c>
      <c r="H29" s="34">
        <f t="shared" si="4"/>
        <v>55530480.010000005</v>
      </c>
      <c r="I29" s="201">
        <f t="shared" si="5"/>
        <v>33.09580721686747</v>
      </c>
      <c r="K29" s="1"/>
    </row>
    <row r="30" spans="1:11" ht="15">
      <c r="A30" s="46">
        <v>110806</v>
      </c>
      <c r="B30" s="240" t="s">
        <v>46</v>
      </c>
      <c r="C30" s="240"/>
      <c r="D30" s="34">
        <v>31000000</v>
      </c>
      <c r="E30" s="34">
        <v>0</v>
      </c>
      <c r="F30" s="34"/>
      <c r="G30" s="34">
        <f t="shared" si="3"/>
        <v>0</v>
      </c>
      <c r="H30" s="34">
        <f t="shared" si="4"/>
        <v>31000000</v>
      </c>
      <c r="I30" s="201">
        <f t="shared" si="5"/>
        <v>0</v>
      </c>
      <c r="K30" s="1"/>
    </row>
    <row r="31" spans="1:11" ht="15">
      <c r="A31" s="46">
        <v>110807</v>
      </c>
      <c r="B31" s="240" t="s">
        <v>47</v>
      </c>
      <c r="C31" s="240"/>
      <c r="D31" s="34">
        <v>15000000</v>
      </c>
      <c r="E31" s="34">
        <v>320000</v>
      </c>
      <c r="F31" s="34">
        <v>300000</v>
      </c>
      <c r="G31" s="34">
        <f t="shared" si="3"/>
        <v>620000</v>
      </c>
      <c r="H31" s="34">
        <f t="shared" si="4"/>
        <v>14380000</v>
      </c>
      <c r="I31" s="201">
        <f t="shared" si="5"/>
        <v>4.133333333333333</v>
      </c>
      <c r="J31" s="221"/>
      <c r="K31" s="247"/>
    </row>
    <row r="32" spans="1:11" ht="15">
      <c r="A32" s="46">
        <v>110815</v>
      </c>
      <c r="B32" s="311" t="s">
        <v>69</v>
      </c>
      <c r="C32" s="312"/>
      <c r="D32" s="245">
        <v>100000000</v>
      </c>
      <c r="E32" s="34">
        <v>0</v>
      </c>
      <c r="F32" s="34">
        <f>21545000-5000000-300000-1000000</f>
        <v>15245000</v>
      </c>
      <c r="G32" s="34">
        <f t="shared" si="3"/>
        <v>15245000</v>
      </c>
      <c r="H32" s="34">
        <f t="shared" si="4"/>
        <v>84755000</v>
      </c>
      <c r="I32" s="201">
        <f t="shared" si="5"/>
        <v>15.245000000000001</v>
      </c>
      <c r="K32" s="1"/>
    </row>
    <row r="33" spans="1:11" ht="15">
      <c r="A33" s="46">
        <v>110809</v>
      </c>
      <c r="B33" s="345" t="s">
        <v>70</v>
      </c>
      <c r="C33" s="312"/>
      <c r="D33" s="245">
        <v>10000000</v>
      </c>
      <c r="E33" s="34">
        <v>0</v>
      </c>
      <c r="F33" s="34"/>
      <c r="G33" s="34">
        <f t="shared" si="3"/>
        <v>0</v>
      </c>
      <c r="H33" s="34">
        <f t="shared" si="4"/>
        <v>10000000</v>
      </c>
      <c r="I33" s="201">
        <f t="shared" si="5"/>
        <v>0</v>
      </c>
      <c r="K33" s="247"/>
    </row>
    <row r="34" spans="1:11" ht="15.75" thickBot="1">
      <c r="A34" s="40"/>
      <c r="B34" s="358" t="s">
        <v>3</v>
      </c>
      <c r="C34" s="328"/>
      <c r="D34" s="49">
        <f>SUM(D28:D33)</f>
        <v>354000000</v>
      </c>
      <c r="E34" s="49">
        <f>SUM(E28:E33)</f>
        <v>21187519.99</v>
      </c>
      <c r="F34" s="49">
        <f>SUM(F28:F33)</f>
        <v>24212000</v>
      </c>
      <c r="G34" s="49">
        <f>SUM(G28:G33)</f>
        <v>45399519.989999995</v>
      </c>
      <c r="H34" s="49">
        <f>SUM(H28:H33)</f>
        <v>308600480.01</v>
      </c>
      <c r="I34" s="45">
        <f>G34/D34*100</f>
        <v>12.824723161016948</v>
      </c>
      <c r="K34" s="247"/>
    </row>
    <row r="35" spans="1:11" ht="15.75" thickTop="1">
      <c r="A35" s="40"/>
      <c r="B35" s="70"/>
      <c r="C35" s="70"/>
      <c r="D35" s="67"/>
      <c r="E35" s="67"/>
      <c r="F35" s="67"/>
      <c r="G35" s="19"/>
      <c r="H35" s="19"/>
      <c r="I35" s="165"/>
      <c r="K35" s="247"/>
    </row>
    <row r="36" spans="1:11" ht="15">
      <c r="A36" s="40"/>
      <c r="B36" s="318" t="s">
        <v>18</v>
      </c>
      <c r="C36" s="318"/>
      <c r="D36" s="67"/>
      <c r="E36" s="67"/>
      <c r="F36" s="67"/>
      <c r="G36" s="19"/>
      <c r="H36" s="19"/>
      <c r="I36" s="165"/>
      <c r="K36" s="247"/>
    </row>
    <row r="37" spans="1:11" ht="15">
      <c r="A37" s="46">
        <v>14220175</v>
      </c>
      <c r="B37" s="312" t="s">
        <v>19</v>
      </c>
      <c r="C37" s="314"/>
      <c r="D37" s="34">
        <v>209760000</v>
      </c>
      <c r="E37" s="66">
        <v>4656000</v>
      </c>
      <c r="F37" s="66">
        <f>1000000+2964500-300000+1000000</f>
        <v>4664500</v>
      </c>
      <c r="G37" s="34">
        <f>+E37+F37</f>
        <v>9320500</v>
      </c>
      <c r="H37" s="34">
        <f>+D37-G37</f>
        <v>200439500</v>
      </c>
      <c r="I37" s="201">
        <f>G37/D37*100</f>
        <v>4.443411517925248</v>
      </c>
      <c r="K37" s="1"/>
    </row>
    <row r="38" spans="1:11" ht="15">
      <c r="A38" s="46">
        <v>14220176</v>
      </c>
      <c r="B38" s="312" t="s">
        <v>20</v>
      </c>
      <c r="C38" s="314"/>
      <c r="D38" s="34">
        <v>5400000</v>
      </c>
      <c r="E38" s="207">
        <v>380000</v>
      </c>
      <c r="F38" s="207">
        <v>300000</v>
      </c>
      <c r="G38" s="34">
        <f>+E38+F38</f>
        <v>680000</v>
      </c>
      <c r="H38" s="34">
        <f>+D38-G38</f>
        <v>4720000</v>
      </c>
      <c r="I38" s="201">
        <f>G38/D38*100</f>
        <v>12.592592592592592</v>
      </c>
      <c r="K38" s="1"/>
    </row>
    <row r="39" spans="1:11" ht="15">
      <c r="A39" s="46">
        <v>14210120</v>
      </c>
      <c r="B39" s="345" t="s">
        <v>68</v>
      </c>
      <c r="C39" s="312"/>
      <c r="D39" s="71">
        <v>1000000</v>
      </c>
      <c r="E39" s="34">
        <v>0</v>
      </c>
      <c r="F39" s="34">
        <v>0</v>
      </c>
      <c r="G39" s="34">
        <f>+E39+F39</f>
        <v>0</v>
      </c>
      <c r="H39" s="34">
        <f>+D39-G39</f>
        <v>1000000</v>
      </c>
      <c r="I39" s="201">
        <f>G39/D39*100</f>
        <v>0</v>
      </c>
      <c r="K39" s="1"/>
    </row>
    <row r="40" spans="1:11" ht="15.75" thickBot="1">
      <c r="A40" s="40"/>
      <c r="B40" s="358" t="s">
        <v>3</v>
      </c>
      <c r="C40" s="328"/>
      <c r="D40" s="49">
        <f>SUM(D37:D39)</f>
        <v>216160000</v>
      </c>
      <c r="E40" s="49">
        <f>SUM(E37:E39)</f>
        <v>5036000</v>
      </c>
      <c r="F40" s="49">
        <f>SUM(F37:F39)</f>
        <v>4964500</v>
      </c>
      <c r="G40" s="49">
        <f>SUM(G37:G39)</f>
        <v>10000500</v>
      </c>
      <c r="H40" s="49">
        <f>SUM(H37:H39)</f>
        <v>206159500</v>
      </c>
      <c r="I40" s="45">
        <f>G40/D40*100</f>
        <v>4.626434122871947</v>
      </c>
      <c r="K40" s="1"/>
    </row>
    <row r="41" spans="1:11" ht="15.75" thickTop="1">
      <c r="A41" s="40"/>
      <c r="B41" s="315"/>
      <c r="C41" s="315"/>
      <c r="D41" s="19"/>
      <c r="E41" s="19"/>
      <c r="F41" s="19"/>
      <c r="G41" s="19"/>
      <c r="H41" s="19"/>
      <c r="I41" s="165"/>
      <c r="K41" s="1"/>
    </row>
    <row r="42" spans="1:11" ht="15">
      <c r="A42" s="212"/>
      <c r="B42" s="318" t="s">
        <v>1194</v>
      </c>
      <c r="C42" s="318"/>
      <c r="D42" s="19"/>
      <c r="E42" s="19"/>
      <c r="F42" s="19"/>
      <c r="G42" s="19"/>
      <c r="H42" s="19"/>
      <c r="I42" s="165"/>
      <c r="K42" s="1"/>
    </row>
    <row r="43" spans="1:11" ht="15">
      <c r="A43" s="46">
        <v>14150101</v>
      </c>
      <c r="B43" s="312" t="s">
        <v>23</v>
      </c>
      <c r="C43" s="314"/>
      <c r="D43" s="34">
        <v>200000000</v>
      </c>
      <c r="E43" s="34">
        <v>200000</v>
      </c>
      <c r="F43" s="66">
        <f>1184000+1002000</f>
        <v>2186000</v>
      </c>
      <c r="G43" s="34">
        <f>+E43+F43</f>
        <v>2386000</v>
      </c>
      <c r="H43" s="34">
        <f>+D43-G43</f>
        <v>197614000</v>
      </c>
      <c r="I43" s="224">
        <f>G43/D43*100</f>
        <v>1.193</v>
      </c>
      <c r="K43" s="1"/>
    </row>
    <row r="44" spans="1:11" ht="15.75" thickBot="1">
      <c r="A44" s="40"/>
      <c r="B44" s="358" t="s">
        <v>3</v>
      </c>
      <c r="C44" s="328"/>
      <c r="D44" s="49">
        <f>SUM(D43:D43)</f>
        <v>200000000</v>
      </c>
      <c r="E44" s="49">
        <f>SUM(E43:E43)</f>
        <v>200000</v>
      </c>
      <c r="F44" s="49">
        <f>SUM(F43:F43)</f>
        <v>2186000</v>
      </c>
      <c r="G44" s="44">
        <f>+E44+F44</f>
        <v>2386000</v>
      </c>
      <c r="H44" s="49">
        <f>SUM(H43:H43)</f>
        <v>197614000</v>
      </c>
      <c r="I44" s="224">
        <f>G44/D44*100</f>
        <v>1.193</v>
      </c>
      <c r="K44" s="1"/>
    </row>
    <row r="45" spans="1:11" ht="15.75" thickTop="1">
      <c r="A45" s="40"/>
      <c r="B45" s="329" t="s">
        <v>24</v>
      </c>
      <c r="C45" s="329"/>
      <c r="D45" s="67"/>
      <c r="E45" s="67"/>
      <c r="F45" s="67"/>
      <c r="G45" s="19"/>
      <c r="H45" s="19"/>
      <c r="I45" s="165"/>
      <c r="K45" s="1"/>
    </row>
    <row r="46" spans="1:11" ht="15">
      <c r="A46" s="46">
        <v>11610144</v>
      </c>
      <c r="B46" s="312" t="s">
        <v>25</v>
      </c>
      <c r="C46" s="314"/>
      <c r="D46" s="34">
        <v>6000000</v>
      </c>
      <c r="E46" s="34">
        <v>869000</v>
      </c>
      <c r="F46" s="66">
        <v>453000</v>
      </c>
      <c r="G46" s="34">
        <f>+E46+F46</f>
        <v>1322000</v>
      </c>
      <c r="H46" s="34">
        <f>+D46-G46</f>
        <v>4678000</v>
      </c>
      <c r="I46" s="201">
        <f>G46/D46*100</f>
        <v>22.03333333333333</v>
      </c>
      <c r="K46" s="1"/>
    </row>
    <row r="47" spans="1:11" ht="15">
      <c r="A47" s="46">
        <v>11610122</v>
      </c>
      <c r="B47" s="312" t="s">
        <v>26</v>
      </c>
      <c r="C47" s="314"/>
      <c r="D47" s="34">
        <v>500000</v>
      </c>
      <c r="E47" s="34">
        <v>0</v>
      </c>
      <c r="F47" s="164">
        <v>0</v>
      </c>
      <c r="G47" s="34">
        <f>+E47+F47</f>
        <v>0</v>
      </c>
      <c r="H47" s="34">
        <f>+D47-G47</f>
        <v>500000</v>
      </c>
      <c r="I47" s="201">
        <f>G47/D47*100</f>
        <v>0</v>
      </c>
      <c r="K47" s="1"/>
    </row>
    <row r="48" spans="1:11" ht="15.75" thickBot="1">
      <c r="A48" s="40"/>
      <c r="B48" s="358" t="s">
        <v>3</v>
      </c>
      <c r="C48" s="328"/>
      <c r="D48" s="49">
        <f>SUM(D46:D47)</f>
        <v>6500000</v>
      </c>
      <c r="E48" s="49">
        <f>SUM(E46:E47)</f>
        <v>869000</v>
      </c>
      <c r="F48" s="49">
        <f>SUM(F46:F47)</f>
        <v>453000</v>
      </c>
      <c r="G48" s="49">
        <f>SUM(G46:G47)</f>
        <v>1322000</v>
      </c>
      <c r="H48" s="49">
        <f>SUM(H46:H47)</f>
        <v>5178000</v>
      </c>
      <c r="I48" s="45">
        <f>G48/D48*100</f>
        <v>20.338461538461537</v>
      </c>
      <c r="K48" s="1"/>
    </row>
    <row r="49" spans="1:11" ht="20.25" customHeight="1" thickTop="1">
      <c r="A49" s="40"/>
      <c r="B49" s="337" t="s">
        <v>54</v>
      </c>
      <c r="C49" s="337"/>
      <c r="D49" s="19"/>
      <c r="E49" s="19"/>
      <c r="F49" s="19"/>
      <c r="G49" s="19"/>
      <c r="H49" s="19"/>
      <c r="I49" s="165"/>
      <c r="K49" s="1"/>
    </row>
    <row r="50" spans="1:11" ht="18.75" customHeight="1">
      <c r="A50" s="46">
        <v>14230105</v>
      </c>
      <c r="B50" s="211" t="s">
        <v>51</v>
      </c>
      <c r="C50" s="210"/>
      <c r="D50" s="56">
        <v>8400000</v>
      </c>
      <c r="E50" s="34">
        <v>0</v>
      </c>
      <c r="F50" s="34">
        <v>0</v>
      </c>
      <c r="G50" s="34">
        <f>+E50+F50</f>
        <v>0</v>
      </c>
      <c r="H50" s="39">
        <f>+D50-G50</f>
        <v>8400000</v>
      </c>
      <c r="I50" s="201">
        <f>G50/D50*100</f>
        <v>0</v>
      </c>
      <c r="K50" s="1"/>
    </row>
    <row r="51" spans="1:11" ht="18.75" customHeight="1">
      <c r="A51" s="46"/>
      <c r="B51" s="211" t="s">
        <v>1218</v>
      </c>
      <c r="C51" s="210"/>
      <c r="D51" s="250">
        <v>0</v>
      </c>
      <c r="E51" s="71">
        <v>530000</v>
      </c>
      <c r="F51" s="71">
        <v>600000</v>
      </c>
      <c r="G51" s="71">
        <f>+E51+F51</f>
        <v>1130000</v>
      </c>
      <c r="H51" s="39">
        <f>+D51-G51</f>
        <v>-1130000</v>
      </c>
      <c r="I51" s="201">
        <v>0</v>
      </c>
      <c r="K51" s="1"/>
    </row>
    <row r="52" spans="1:11" ht="18.75" customHeight="1" thickBot="1">
      <c r="A52" s="46"/>
      <c r="B52" s="358" t="s">
        <v>3</v>
      </c>
      <c r="C52" s="328"/>
      <c r="D52" s="44">
        <f>SUM(D50:D51)</f>
        <v>8400000</v>
      </c>
      <c r="E52" s="44">
        <f>SUM(E50:E51)</f>
        <v>530000</v>
      </c>
      <c r="F52" s="44">
        <f>SUM(F50:F51)</f>
        <v>600000</v>
      </c>
      <c r="G52" s="44">
        <f>SUM(G50:G51)</f>
        <v>1130000</v>
      </c>
      <c r="H52" s="44">
        <f>SUM(H50:H50)</f>
        <v>8400000</v>
      </c>
      <c r="I52" s="45">
        <f>G52/D52*100</f>
        <v>13.452380952380953</v>
      </c>
      <c r="K52" s="1"/>
    </row>
    <row r="53" spans="1:11" ht="23.25" customHeight="1" thickTop="1">
      <c r="A53" s="51"/>
      <c r="B53" s="149" t="s">
        <v>27</v>
      </c>
      <c r="C53" s="149"/>
      <c r="D53" s="359"/>
      <c r="E53" s="359"/>
      <c r="F53" s="359"/>
      <c r="G53" s="359"/>
      <c r="H53" s="359"/>
      <c r="I53" s="359"/>
      <c r="K53" s="1"/>
    </row>
    <row r="54" spans="1:11" ht="15">
      <c r="A54" s="80">
        <v>140399</v>
      </c>
      <c r="B54" s="360" t="s">
        <v>48</v>
      </c>
      <c r="C54" s="361"/>
      <c r="D54" s="206">
        <v>300000000</v>
      </c>
      <c r="E54" s="206">
        <v>11440000</v>
      </c>
      <c r="F54" s="207">
        <v>0</v>
      </c>
      <c r="G54" s="206">
        <f>+E54+F54</f>
        <v>11440000</v>
      </c>
      <c r="H54" s="206">
        <f>+D54-G54</f>
        <v>288560000</v>
      </c>
      <c r="I54" s="223">
        <f>G54/D54*100</f>
        <v>3.813333333333333</v>
      </c>
      <c r="K54" s="1"/>
    </row>
    <row r="55" spans="1:11" ht="15">
      <c r="A55" s="80">
        <v>140399</v>
      </c>
      <c r="B55" s="243" t="s">
        <v>1211</v>
      </c>
      <c r="C55" s="244"/>
      <c r="D55" s="245">
        <v>35200000</v>
      </c>
      <c r="E55" s="245">
        <v>0</v>
      </c>
      <c r="F55" s="246">
        <v>0</v>
      </c>
      <c r="G55" s="206">
        <f>+E55+F55</f>
        <v>0</v>
      </c>
      <c r="H55" s="206">
        <f>+D55-G55</f>
        <v>35200000</v>
      </c>
      <c r="I55" s="223">
        <f>G55/D55*100</f>
        <v>0</v>
      </c>
      <c r="K55" s="1"/>
    </row>
    <row r="56" spans="1:11" ht="15">
      <c r="A56" s="80">
        <v>140399</v>
      </c>
      <c r="B56" s="243" t="s">
        <v>1212</v>
      </c>
      <c r="C56" s="244"/>
      <c r="D56" s="245">
        <v>34249980</v>
      </c>
      <c r="E56" s="245">
        <v>9380000</v>
      </c>
      <c r="F56" s="246">
        <v>0</v>
      </c>
      <c r="G56" s="206">
        <f>+E56+F56</f>
        <v>9380000</v>
      </c>
      <c r="H56" s="206">
        <f>+D56-G56</f>
        <v>24869980</v>
      </c>
      <c r="I56" s="223">
        <f>G56/D56*100</f>
        <v>27.386877306205726</v>
      </c>
      <c r="K56" s="1"/>
    </row>
    <row r="57" spans="1:11" ht="15">
      <c r="A57" s="80">
        <v>140399</v>
      </c>
      <c r="B57" s="243" t="s">
        <v>1213</v>
      </c>
      <c r="C57" s="244"/>
      <c r="D57" s="245">
        <v>361900000</v>
      </c>
      <c r="E57" s="245">
        <v>0</v>
      </c>
      <c r="F57" s="246">
        <v>0</v>
      </c>
      <c r="G57" s="206">
        <f>+E57+F57</f>
        <v>0</v>
      </c>
      <c r="H57" s="206">
        <f>+D57-G57</f>
        <v>361900000</v>
      </c>
      <c r="I57" s="223">
        <f>G57/D57*100</f>
        <v>0</v>
      </c>
      <c r="K57" s="1"/>
    </row>
    <row r="58" spans="1:11" ht="15.75" thickBot="1">
      <c r="A58" s="46"/>
      <c r="B58" s="362" t="s">
        <v>3</v>
      </c>
      <c r="C58" s="362"/>
      <c r="D58" s="208">
        <f>SUM(D54:D57)</f>
        <v>731349980</v>
      </c>
      <c r="E58" s="208">
        <f>SUM(E54:E57)</f>
        <v>20820000</v>
      </c>
      <c r="F58" s="208">
        <f>SUM(F54:F57)</f>
        <v>0</v>
      </c>
      <c r="G58" s="208">
        <f>SUM(G54:G57)</f>
        <v>20820000</v>
      </c>
      <c r="H58" s="208">
        <f>SUM(H54:H54)</f>
        <v>288560000</v>
      </c>
      <c r="I58" s="223">
        <f>G58/D58*100</f>
        <v>2.846790260389424</v>
      </c>
      <c r="K58" s="1"/>
    </row>
    <row r="59" spans="1:11" ht="15.75" thickTop="1">
      <c r="A59" s="9"/>
      <c r="B59" s="149" t="s">
        <v>28</v>
      </c>
      <c r="C59" s="149"/>
      <c r="D59" s="19"/>
      <c r="E59" s="19"/>
      <c r="F59" s="19"/>
      <c r="G59" s="26"/>
      <c r="H59" s="26"/>
      <c r="I59" s="165"/>
      <c r="K59" s="161"/>
    </row>
    <row r="60" spans="1:11" ht="15">
      <c r="A60" s="46">
        <v>14230105</v>
      </c>
      <c r="B60" s="314" t="s">
        <v>29</v>
      </c>
      <c r="C60" s="314"/>
      <c r="D60" s="34">
        <v>8300000</v>
      </c>
      <c r="E60" s="34">
        <v>0</v>
      </c>
      <c r="F60" s="56">
        <v>0</v>
      </c>
      <c r="G60" s="56">
        <v>0</v>
      </c>
      <c r="H60" s="39">
        <f>+D60-G60</f>
        <v>8300000</v>
      </c>
      <c r="I60" s="225">
        <f>G60/D60*100</f>
        <v>0</v>
      </c>
      <c r="K60" s="1"/>
    </row>
    <row r="61" spans="1:11" ht="15.75" thickBot="1">
      <c r="A61" s="203"/>
      <c r="B61" s="316" t="s">
        <v>30</v>
      </c>
      <c r="C61" s="316"/>
      <c r="D61" s="49">
        <f>+D19+D25+D34+D40+D44+D48+D52+D58+D60</f>
        <v>5578080980</v>
      </c>
      <c r="E61" s="49">
        <f>+E19+E25+E34+E40+E44+E48+E52+E58+E60</f>
        <v>75995289.16</v>
      </c>
      <c r="F61" s="49">
        <f>+F19+F25+F34+F40+F44+F48+F52+F58+F60</f>
        <v>167664645.84</v>
      </c>
      <c r="G61" s="49">
        <f>+G19+G25+G34+G40+G44+G48+G52+G58+G60</f>
        <v>243659935</v>
      </c>
      <c r="H61" s="49">
        <f>+H19+H25+H34+H40+H44+H48+H52+H58+H60</f>
        <v>4718781065</v>
      </c>
      <c r="I61" s="222">
        <f>G61/D61*100</f>
        <v>4.368167760088704</v>
      </c>
      <c r="J61" s="67"/>
      <c r="K61" s="1"/>
    </row>
    <row r="62" spans="1:11" ht="15.75" thickTop="1">
      <c r="A62" s="2"/>
      <c r="B62" s="315"/>
      <c r="C62" s="315"/>
      <c r="D62" s="19"/>
      <c r="E62" s="19"/>
      <c r="F62" s="19"/>
      <c r="G62" s="19"/>
      <c r="H62" s="21"/>
      <c r="I62" s="166"/>
      <c r="K62" s="1"/>
    </row>
    <row r="63" spans="1:11" ht="15">
      <c r="A63" s="319" t="s">
        <v>79</v>
      </c>
      <c r="B63" s="319"/>
      <c r="C63" s="319"/>
      <c r="D63" s="168"/>
      <c r="E63" s="220"/>
      <c r="F63" s="168"/>
      <c r="G63" s="218"/>
      <c r="H63" s="218"/>
      <c r="I63" s="168"/>
      <c r="K63" s="242"/>
    </row>
    <row r="64" spans="1:13" ht="15">
      <c r="A64" s="33">
        <v>13310101</v>
      </c>
      <c r="B64" s="332" t="s">
        <v>1204</v>
      </c>
      <c r="C64" s="332"/>
      <c r="D64" s="34">
        <v>16807723000</v>
      </c>
      <c r="E64" s="34">
        <v>1181332000</v>
      </c>
      <c r="F64" s="34">
        <v>1181332000</v>
      </c>
      <c r="G64" s="34">
        <f>+E64+F64</f>
        <v>2362664000</v>
      </c>
      <c r="H64" s="34">
        <f>+D64-F64</f>
        <v>15626391000</v>
      </c>
      <c r="I64" s="201">
        <f>G64/D64*100</f>
        <v>14.057014147603455</v>
      </c>
      <c r="K64" s="226"/>
      <c r="L64" s="221"/>
      <c r="M64" s="221"/>
    </row>
    <row r="65" spans="1:13" ht="15.75" thickBot="1">
      <c r="A65" s="204"/>
      <c r="B65" s="335" t="s">
        <v>1079</v>
      </c>
      <c r="C65" s="336"/>
      <c r="D65" s="44">
        <f>SUM(D64:D64)</f>
        <v>16807723000</v>
      </c>
      <c r="E65" s="44">
        <f>SUM(E64:E64)</f>
        <v>1181332000</v>
      </c>
      <c r="F65" s="44">
        <f>SUM(F64:F64)</f>
        <v>1181332000</v>
      </c>
      <c r="G65" s="44">
        <f>SUM(G64:G64)</f>
        <v>2362664000</v>
      </c>
      <c r="H65" s="44">
        <f>SUM(H64:H64)</f>
        <v>15626391000</v>
      </c>
      <c r="I65" s="201">
        <f>G65/D65*100</f>
        <v>14.057014147603455</v>
      </c>
      <c r="J65" s="26"/>
      <c r="K65" s="226"/>
      <c r="L65" s="221"/>
      <c r="M65" s="221"/>
    </row>
    <row r="66" spans="1:13" ht="15.75" thickTop="1">
      <c r="A66" s="72"/>
      <c r="B66" s="318" t="s">
        <v>44</v>
      </c>
      <c r="C66" s="318"/>
      <c r="D66" s="26"/>
      <c r="E66" s="26"/>
      <c r="F66" s="26"/>
      <c r="G66" s="21"/>
      <c r="H66" s="21"/>
      <c r="I66" s="166"/>
      <c r="K66" s="226"/>
      <c r="L66" s="221"/>
      <c r="M66" s="221"/>
    </row>
    <row r="67" spans="1:13" ht="15">
      <c r="A67" s="33">
        <v>13310102</v>
      </c>
      <c r="B67" s="314" t="s">
        <v>1168</v>
      </c>
      <c r="C67" s="314"/>
      <c r="D67" s="34">
        <f>73086000+33825000</f>
        <v>106911000</v>
      </c>
      <c r="E67" s="34">
        <v>0</v>
      </c>
      <c r="F67" s="34">
        <f>44651000-37062000</f>
        <v>7589000</v>
      </c>
      <c r="G67" s="34">
        <f>+E67+F67</f>
        <v>7589000</v>
      </c>
      <c r="H67" s="34">
        <f>+D67-G67</f>
        <v>99322000</v>
      </c>
      <c r="I67" s="201">
        <f>G67/D67*100</f>
        <v>7.098427664131848</v>
      </c>
      <c r="K67" s="226"/>
      <c r="L67" s="221"/>
      <c r="M67" s="221"/>
    </row>
    <row r="68" spans="1:11" ht="15">
      <c r="A68" s="33">
        <v>13310102</v>
      </c>
      <c r="B68" s="314" t="s">
        <v>1162</v>
      </c>
      <c r="C68" s="314"/>
      <c r="D68" s="34">
        <f>44823000+114092000+K79+172401000</f>
        <v>331316000</v>
      </c>
      <c r="E68" s="34">
        <v>0</v>
      </c>
      <c r="F68" s="34">
        <f>3735000+7758000+9508000+102993417.17+74251000</f>
        <v>198245417.17000002</v>
      </c>
      <c r="G68" s="34">
        <f aca="true" t="shared" si="6" ref="G68:G82">+E68+F68</f>
        <v>198245417.17000002</v>
      </c>
      <c r="H68" s="34">
        <f aca="true" t="shared" si="7" ref="H68:H82">+D68-G68</f>
        <v>133070582.82999998</v>
      </c>
      <c r="I68" s="201">
        <f aca="true" t="shared" si="8" ref="I68:I75">G68/D68*100</f>
        <v>59.83575111675863</v>
      </c>
      <c r="J68" s="221"/>
      <c r="K68" s="1"/>
    </row>
    <row r="69" spans="1:11" ht="15">
      <c r="A69" s="33">
        <v>13310102</v>
      </c>
      <c r="B69" s="314" t="s">
        <v>1160</v>
      </c>
      <c r="C69" s="314"/>
      <c r="D69" s="34">
        <f>21230000+28538000+24876000+118881000</f>
        <v>193525000</v>
      </c>
      <c r="E69" s="34">
        <v>0</v>
      </c>
      <c r="F69" s="206">
        <f>1761000+2073000+2378000</f>
        <v>6212000</v>
      </c>
      <c r="G69" s="34">
        <f t="shared" si="6"/>
        <v>6212000</v>
      </c>
      <c r="H69" s="34">
        <f t="shared" si="7"/>
        <v>187313000</v>
      </c>
      <c r="I69" s="201">
        <f t="shared" si="8"/>
        <v>3.2099211988115233</v>
      </c>
      <c r="K69" s="215"/>
    </row>
    <row r="70" spans="1:11" ht="15">
      <c r="A70" s="33">
        <v>13310102</v>
      </c>
      <c r="B70" s="240" t="s">
        <v>1208</v>
      </c>
      <c r="C70" s="240"/>
      <c r="D70" s="34">
        <f>93960000+139600000+314400000-15911796.77+108904796.77</f>
        <v>640953000</v>
      </c>
      <c r="E70" s="34">
        <v>0</v>
      </c>
      <c r="F70" s="206">
        <v>78220000</v>
      </c>
      <c r="G70" s="34">
        <f t="shared" si="6"/>
        <v>78220000</v>
      </c>
      <c r="H70" s="34">
        <f t="shared" si="7"/>
        <v>562733000</v>
      </c>
      <c r="I70" s="201">
        <f t="shared" si="8"/>
        <v>12.203702923615305</v>
      </c>
      <c r="K70" s="215"/>
    </row>
    <row r="71" spans="1:11" ht="15">
      <c r="A71" s="33">
        <v>13310102</v>
      </c>
      <c r="B71" s="314" t="s">
        <v>1169</v>
      </c>
      <c r="C71" s="314"/>
      <c r="D71" s="34">
        <v>8855000</v>
      </c>
      <c r="E71" s="34">
        <v>0</v>
      </c>
      <c r="F71" s="34">
        <v>738000</v>
      </c>
      <c r="G71" s="34">
        <f t="shared" si="6"/>
        <v>738000</v>
      </c>
      <c r="H71" s="34">
        <f t="shared" si="7"/>
        <v>8117000</v>
      </c>
      <c r="I71" s="201">
        <f t="shared" si="8"/>
        <v>8.334274421230942</v>
      </c>
      <c r="J71" s="221"/>
      <c r="K71" s="1"/>
    </row>
    <row r="72" spans="1:11" ht="15">
      <c r="A72" s="33">
        <v>13310102</v>
      </c>
      <c r="B72" s="311" t="s">
        <v>1184</v>
      </c>
      <c r="C72" s="312"/>
      <c r="D72" s="71">
        <v>25526000</v>
      </c>
      <c r="E72" s="34">
        <v>0</v>
      </c>
      <c r="F72" s="34">
        <f>+D72/86460000*7205000</f>
        <v>2127166.6666666665</v>
      </c>
      <c r="G72" s="34">
        <f t="shared" si="6"/>
        <v>2127166.6666666665</v>
      </c>
      <c r="H72" s="34">
        <f t="shared" si="7"/>
        <v>23398833.333333332</v>
      </c>
      <c r="I72" s="201">
        <f t="shared" si="8"/>
        <v>8.333333333333332</v>
      </c>
      <c r="J72" s="221"/>
      <c r="K72" s="215"/>
    </row>
    <row r="73" spans="1:11" ht="15">
      <c r="A73" s="33">
        <v>13310102</v>
      </c>
      <c r="B73" s="311" t="s">
        <v>1172</v>
      </c>
      <c r="C73" s="312"/>
      <c r="D73" s="71">
        <v>8000000</v>
      </c>
      <c r="E73" s="34">
        <v>0</v>
      </c>
      <c r="F73" s="34">
        <f aca="true" t="shared" si="9" ref="F73:F80">+D73/86460000*7205000</f>
        <v>666666.6666666667</v>
      </c>
      <c r="G73" s="34">
        <f t="shared" si="6"/>
        <v>666666.6666666667</v>
      </c>
      <c r="H73" s="34">
        <f t="shared" si="7"/>
        <v>7333333.333333333</v>
      </c>
      <c r="I73" s="201">
        <f t="shared" si="8"/>
        <v>8.333333333333334</v>
      </c>
      <c r="K73" s="1"/>
    </row>
    <row r="74" spans="1:11" ht="15">
      <c r="A74" s="33">
        <v>13310102</v>
      </c>
      <c r="B74" s="311" t="s">
        <v>1173</v>
      </c>
      <c r="C74" s="312"/>
      <c r="D74" s="71">
        <v>9960000</v>
      </c>
      <c r="E74" s="34">
        <v>0</v>
      </c>
      <c r="F74" s="34">
        <f t="shared" si="9"/>
        <v>830000</v>
      </c>
      <c r="G74" s="34">
        <f t="shared" si="6"/>
        <v>830000</v>
      </c>
      <c r="H74" s="34">
        <f t="shared" si="7"/>
        <v>9130000</v>
      </c>
      <c r="I74" s="201">
        <f t="shared" si="8"/>
        <v>8.333333333333332</v>
      </c>
      <c r="J74" s="221"/>
      <c r="K74" s="1"/>
    </row>
    <row r="75" spans="1:11" ht="15">
      <c r="A75" s="33">
        <v>13310102</v>
      </c>
      <c r="B75" s="238" t="s">
        <v>35</v>
      </c>
      <c r="C75" s="239"/>
      <c r="D75" s="71">
        <v>8585000</v>
      </c>
      <c r="E75" s="34">
        <v>0</v>
      </c>
      <c r="F75" s="34">
        <v>715000</v>
      </c>
      <c r="G75" s="34">
        <f t="shared" si="6"/>
        <v>715000</v>
      </c>
      <c r="H75" s="34">
        <f t="shared" si="7"/>
        <v>7870000</v>
      </c>
      <c r="I75" s="201">
        <f t="shared" si="8"/>
        <v>8.328479906814211</v>
      </c>
      <c r="J75" s="221"/>
      <c r="K75" s="242">
        <f>1390901000-D83</f>
        <v>0</v>
      </c>
    </row>
    <row r="76" spans="1:11" ht="15">
      <c r="A76" s="33">
        <v>13310102</v>
      </c>
      <c r="B76" s="314" t="s">
        <v>1174</v>
      </c>
      <c r="C76" s="314"/>
      <c r="D76" s="34">
        <v>8000000</v>
      </c>
      <c r="E76" s="34">
        <v>0</v>
      </c>
      <c r="F76" s="34">
        <f t="shared" si="9"/>
        <v>666666.6666666667</v>
      </c>
      <c r="G76" s="34">
        <f t="shared" si="6"/>
        <v>666666.6666666667</v>
      </c>
      <c r="H76" s="34">
        <f t="shared" si="7"/>
        <v>7333333.333333333</v>
      </c>
      <c r="I76" s="201">
        <f aca="true" t="shared" si="10" ref="I76:I82">G76/D76*100</f>
        <v>8.333333333333334</v>
      </c>
      <c r="J76" s="221"/>
      <c r="K76" s="1"/>
    </row>
    <row r="77" spans="1:11" ht="15">
      <c r="A77" s="33">
        <v>13310102</v>
      </c>
      <c r="B77" s="311" t="s">
        <v>1176</v>
      </c>
      <c r="C77" s="312"/>
      <c r="D77" s="71">
        <v>9014000</v>
      </c>
      <c r="E77" s="34">
        <v>0</v>
      </c>
      <c r="F77" s="34">
        <f t="shared" si="9"/>
        <v>751166.6666666666</v>
      </c>
      <c r="G77" s="34">
        <f t="shared" si="6"/>
        <v>751166.6666666666</v>
      </c>
      <c r="H77" s="34">
        <f t="shared" si="7"/>
        <v>8262833.333333333</v>
      </c>
      <c r="I77" s="201">
        <f t="shared" si="10"/>
        <v>8.333333333333332</v>
      </c>
      <c r="J77" s="221"/>
      <c r="K77" s="242"/>
    </row>
    <row r="78" spans="1:11" ht="15">
      <c r="A78" s="33">
        <v>13310102</v>
      </c>
      <c r="B78" s="311" t="s">
        <v>1190</v>
      </c>
      <c r="C78" s="312"/>
      <c r="D78" s="71">
        <v>8000000</v>
      </c>
      <c r="E78" s="34">
        <v>0</v>
      </c>
      <c r="F78" s="34">
        <f t="shared" si="9"/>
        <v>666666.6666666667</v>
      </c>
      <c r="G78" s="34">
        <f t="shared" si="6"/>
        <v>666666.6666666667</v>
      </c>
      <c r="H78" s="34">
        <f t="shared" si="7"/>
        <v>7333333.333333333</v>
      </c>
      <c r="I78" s="201">
        <f t="shared" si="10"/>
        <v>8.333333333333334</v>
      </c>
      <c r="J78" s="221"/>
      <c r="K78" s="1"/>
    </row>
    <row r="79" spans="1:11" ht="15">
      <c r="A79" s="33">
        <v>13310102</v>
      </c>
      <c r="B79" s="311" t="s">
        <v>1178</v>
      </c>
      <c r="C79" s="312"/>
      <c r="D79" s="71">
        <v>8000000</v>
      </c>
      <c r="E79" s="34">
        <v>0</v>
      </c>
      <c r="F79" s="34">
        <f t="shared" si="9"/>
        <v>666666.6666666667</v>
      </c>
      <c r="G79" s="34">
        <f t="shared" si="6"/>
        <v>666666.6666666667</v>
      </c>
      <c r="H79" s="34">
        <f t="shared" si="7"/>
        <v>7333333.333333333</v>
      </c>
      <c r="I79" s="201">
        <f t="shared" si="10"/>
        <v>8.333333333333334</v>
      </c>
      <c r="J79" s="221"/>
      <c r="K79" s="1"/>
    </row>
    <row r="80" spans="1:11" ht="15">
      <c r="A80" s="33">
        <v>13310102</v>
      </c>
      <c r="B80" s="311" t="s">
        <v>1179</v>
      </c>
      <c r="C80" s="312"/>
      <c r="D80" s="71">
        <v>9960000</v>
      </c>
      <c r="E80" s="34">
        <v>0</v>
      </c>
      <c r="F80" s="34">
        <f t="shared" si="9"/>
        <v>830000</v>
      </c>
      <c r="G80" s="34">
        <f t="shared" si="6"/>
        <v>830000</v>
      </c>
      <c r="H80" s="34">
        <f t="shared" si="7"/>
        <v>9130000</v>
      </c>
      <c r="I80" s="201">
        <f t="shared" si="10"/>
        <v>8.333333333333332</v>
      </c>
      <c r="J80" s="221"/>
      <c r="K80" s="1"/>
    </row>
    <row r="81" spans="1:11" ht="15">
      <c r="A81" s="33">
        <v>13310102</v>
      </c>
      <c r="B81" s="314" t="s">
        <v>1181</v>
      </c>
      <c r="C81" s="314"/>
      <c r="D81" s="34">
        <v>8296000</v>
      </c>
      <c r="E81" s="34">
        <v>0</v>
      </c>
      <c r="F81" s="34">
        <f>1191000/2</f>
        <v>595500</v>
      </c>
      <c r="G81" s="34">
        <f t="shared" si="6"/>
        <v>595500</v>
      </c>
      <c r="H81" s="34">
        <f t="shared" si="7"/>
        <v>7700500</v>
      </c>
      <c r="I81" s="201">
        <f t="shared" si="10"/>
        <v>7.178158148505304</v>
      </c>
      <c r="J81" s="221"/>
      <c r="K81" s="1"/>
    </row>
    <row r="82" spans="1:11" ht="15">
      <c r="A82" s="33">
        <v>13310102</v>
      </c>
      <c r="B82" s="341" t="s">
        <v>1182</v>
      </c>
      <c r="C82" s="342"/>
      <c r="D82" s="58">
        <v>6000000</v>
      </c>
      <c r="E82" s="34">
        <v>0</v>
      </c>
      <c r="F82" s="34">
        <f>1191000/2</f>
        <v>595500</v>
      </c>
      <c r="G82" s="34">
        <f t="shared" si="6"/>
        <v>595500</v>
      </c>
      <c r="H82" s="34">
        <f t="shared" si="7"/>
        <v>5404500</v>
      </c>
      <c r="I82" s="201">
        <f t="shared" si="10"/>
        <v>9.925</v>
      </c>
      <c r="J82" s="221"/>
      <c r="K82" s="1"/>
    </row>
    <row r="83" spans="1:11" ht="15.75" thickBot="1">
      <c r="A83" s="40"/>
      <c r="B83" s="328" t="s">
        <v>36</v>
      </c>
      <c r="C83" s="328"/>
      <c r="D83" s="49">
        <f>+D67+D68+D69+D70+D71+D72+D73+D74+D75+D76+D77+D78+D79+D80+D81+D82</f>
        <v>1390901000</v>
      </c>
      <c r="E83" s="49">
        <f>SUM(E67:E82)</f>
        <v>0</v>
      </c>
      <c r="F83" s="49">
        <f>SUM(F67:F82)</f>
        <v>300115417.17000014</v>
      </c>
      <c r="G83" s="49">
        <f>SUM(G67:G82)</f>
        <v>300115417.17000014</v>
      </c>
      <c r="H83" s="49">
        <f>SUM(H67:H82)</f>
        <v>1090785582.8300002</v>
      </c>
      <c r="I83" s="45">
        <f>G83/D83*100</f>
        <v>21.57705093101523</v>
      </c>
      <c r="J83" s="221"/>
      <c r="K83" s="1"/>
    </row>
    <row r="84" spans="1:11" ht="15.75" thickTop="1">
      <c r="A84" s="2"/>
      <c r="B84" s="329" t="s">
        <v>1148</v>
      </c>
      <c r="C84" s="329"/>
      <c r="D84" s="19"/>
      <c r="E84" s="19"/>
      <c r="F84" s="19"/>
      <c r="G84" s="19"/>
      <c r="H84" s="19"/>
      <c r="I84" s="171"/>
      <c r="K84" s="1"/>
    </row>
    <row r="85" spans="1:11" ht="15">
      <c r="A85" s="33">
        <v>130120</v>
      </c>
      <c r="B85" s="314" t="s">
        <v>1163</v>
      </c>
      <c r="C85" s="314"/>
      <c r="D85" s="206">
        <f>54730000</f>
        <v>54730000</v>
      </c>
      <c r="E85" s="34">
        <v>0</v>
      </c>
      <c r="F85" s="35">
        <v>0</v>
      </c>
      <c r="G85" s="34">
        <f>+E85+F85</f>
        <v>0</v>
      </c>
      <c r="H85" s="34">
        <f>+D85-G85</f>
        <v>54730000</v>
      </c>
      <c r="I85" s="156">
        <f>G85/D85*100</f>
        <v>0</v>
      </c>
      <c r="K85" s="1"/>
    </row>
    <row r="86" spans="1:11" ht="15">
      <c r="A86" s="33">
        <v>130120</v>
      </c>
      <c r="B86" s="311" t="s">
        <v>1210</v>
      </c>
      <c r="C86" s="312"/>
      <c r="D86" s="206">
        <v>1500000000</v>
      </c>
      <c r="E86" s="34">
        <v>0</v>
      </c>
      <c r="F86" s="35">
        <v>0</v>
      </c>
      <c r="G86" s="34">
        <f>+E86+F86</f>
        <v>0</v>
      </c>
      <c r="H86" s="34">
        <f>+D86-G86</f>
        <v>1500000000</v>
      </c>
      <c r="I86" s="156">
        <f>G86/D86*100</f>
        <v>0</v>
      </c>
      <c r="K86" s="1"/>
    </row>
    <row r="87" spans="1:11" ht="15">
      <c r="A87" s="33"/>
      <c r="B87" s="238" t="s">
        <v>1205</v>
      </c>
      <c r="C87" s="239"/>
      <c r="D87" s="206">
        <v>106206350</v>
      </c>
      <c r="E87" s="34">
        <v>0</v>
      </c>
      <c r="F87" s="35">
        <v>0</v>
      </c>
      <c r="G87" s="34">
        <f>+E87+F87</f>
        <v>0</v>
      </c>
      <c r="H87" s="34">
        <f>+D87-G87</f>
        <v>106206350</v>
      </c>
      <c r="I87" s="156">
        <f>G87/D87*100</f>
        <v>0</v>
      </c>
      <c r="K87" s="1"/>
    </row>
    <row r="88" spans="1:11" ht="15">
      <c r="A88" s="33">
        <v>130114</v>
      </c>
      <c r="B88" s="311" t="s">
        <v>1209</v>
      </c>
      <c r="C88" s="312"/>
      <c r="D88" s="206">
        <v>483611000</v>
      </c>
      <c r="E88" s="34">
        <v>0</v>
      </c>
      <c r="F88" s="34">
        <v>0</v>
      </c>
      <c r="G88" s="34">
        <f>+E88+F88</f>
        <v>0</v>
      </c>
      <c r="H88" s="34">
        <f>+D88-G88</f>
        <v>483611000</v>
      </c>
      <c r="I88" s="156">
        <f>G88/D88*100</f>
        <v>0</v>
      </c>
      <c r="K88" s="1"/>
    </row>
    <row r="89" spans="1:9" ht="15">
      <c r="A89" s="205"/>
      <c r="B89" s="330" t="s">
        <v>1149</v>
      </c>
      <c r="C89" s="330"/>
      <c r="D89" s="213">
        <f>SUM(D85:D88)</f>
        <v>2144547350</v>
      </c>
      <c r="E89" s="213">
        <f>SUM(E85:E88)</f>
        <v>0</v>
      </c>
      <c r="F89" s="213">
        <f>SUM(F85:F88)</f>
        <v>0</v>
      </c>
      <c r="G89" s="213">
        <f>SUM(G85:G88)</f>
        <v>0</v>
      </c>
      <c r="H89" s="213">
        <f>SUM(H85:H88)</f>
        <v>2144547350</v>
      </c>
      <c r="I89" s="156">
        <f>G89/D89*100</f>
        <v>0</v>
      </c>
    </row>
    <row r="90" spans="1:11" ht="15">
      <c r="A90" s="2"/>
      <c r="B90" s="329" t="s">
        <v>1152</v>
      </c>
      <c r="C90" s="329"/>
      <c r="D90" s="214"/>
      <c r="E90" s="19"/>
      <c r="F90" s="19"/>
      <c r="G90" s="19"/>
      <c r="H90" s="19"/>
      <c r="I90" s="171"/>
      <c r="K90" s="1"/>
    </row>
    <row r="91" spans="1:11" ht="15">
      <c r="A91" s="33">
        <v>13110105</v>
      </c>
      <c r="B91" s="238" t="s">
        <v>1203</v>
      </c>
      <c r="C91" s="239"/>
      <c r="D91" s="206">
        <v>446310000</v>
      </c>
      <c r="E91" s="34">
        <v>0</v>
      </c>
      <c r="F91" s="216">
        <v>0</v>
      </c>
      <c r="G91" s="34">
        <f>+E91+F91</f>
        <v>0</v>
      </c>
      <c r="H91" s="34">
        <f>+D91-G91</f>
        <v>446310000</v>
      </c>
      <c r="I91" s="156">
        <f>G91/D91*100</f>
        <v>0</v>
      </c>
      <c r="K91" s="161"/>
    </row>
    <row r="92" spans="1:11" ht="15">
      <c r="A92" s="33">
        <v>13110105</v>
      </c>
      <c r="B92" s="311" t="s">
        <v>1155</v>
      </c>
      <c r="C92" s="312"/>
      <c r="D92" s="206">
        <v>511982000</v>
      </c>
      <c r="E92" s="206">
        <v>0</v>
      </c>
      <c r="F92" s="206">
        <v>0</v>
      </c>
      <c r="G92" s="34">
        <f aca="true" t="shared" si="11" ref="G92:G101">+E92+F92</f>
        <v>0</v>
      </c>
      <c r="H92" s="34">
        <f aca="true" t="shared" si="12" ref="H92:H101">+D92-G92</f>
        <v>511982000</v>
      </c>
      <c r="I92" s="156">
        <f aca="true" t="shared" si="13" ref="I92:I102">G92/D92*100</f>
        <v>0</v>
      </c>
      <c r="K92" s="1"/>
    </row>
    <row r="93" spans="1:11" ht="15">
      <c r="A93" s="33">
        <v>13120158</v>
      </c>
      <c r="B93" s="238" t="s">
        <v>1201</v>
      </c>
      <c r="C93" s="239"/>
      <c r="D93" s="206">
        <v>98970000</v>
      </c>
      <c r="E93" s="34">
        <v>0</v>
      </c>
      <c r="F93" s="206">
        <v>0</v>
      </c>
      <c r="G93" s="34">
        <f t="shared" si="11"/>
        <v>0</v>
      </c>
      <c r="H93" s="34">
        <f t="shared" si="12"/>
        <v>98970000</v>
      </c>
      <c r="I93" s="156">
        <f t="shared" si="13"/>
        <v>0</v>
      </c>
      <c r="K93" s="1"/>
    </row>
    <row r="94" spans="1:11" ht="15">
      <c r="A94" s="33">
        <v>13120159</v>
      </c>
      <c r="B94" s="238" t="s">
        <v>1206</v>
      </c>
      <c r="C94" s="239"/>
      <c r="D94" s="206">
        <v>328900000</v>
      </c>
      <c r="E94" s="34">
        <v>0</v>
      </c>
      <c r="F94" s="206"/>
      <c r="G94" s="34">
        <f t="shared" si="11"/>
        <v>0</v>
      </c>
      <c r="H94" s="34">
        <f t="shared" si="12"/>
        <v>328900000</v>
      </c>
      <c r="I94" s="156">
        <f t="shared" si="13"/>
        <v>0</v>
      </c>
      <c r="K94" s="1"/>
    </row>
    <row r="95" spans="1:11" ht="15">
      <c r="A95" s="33">
        <v>130123</v>
      </c>
      <c r="B95" s="238" t="s">
        <v>1186</v>
      </c>
      <c r="C95" s="239"/>
      <c r="D95" s="206">
        <v>125245000</v>
      </c>
      <c r="E95" s="34">
        <v>125245000</v>
      </c>
      <c r="F95" s="206">
        <v>7300000</v>
      </c>
      <c r="G95" s="34">
        <f t="shared" si="11"/>
        <v>132545000</v>
      </c>
      <c r="H95" s="34">
        <f t="shared" si="12"/>
        <v>-7300000</v>
      </c>
      <c r="I95" s="156">
        <f t="shared" si="13"/>
        <v>105.82857599105753</v>
      </c>
      <c r="K95" s="1"/>
    </row>
    <row r="96" spans="1:11" ht="15">
      <c r="A96" s="33">
        <v>13120184</v>
      </c>
      <c r="B96" s="238" t="s">
        <v>1207</v>
      </c>
      <c r="C96" s="239"/>
      <c r="D96" s="206">
        <v>35500000</v>
      </c>
      <c r="E96" s="34">
        <v>0</v>
      </c>
      <c r="F96" s="34"/>
      <c r="G96" s="34">
        <f t="shared" si="11"/>
        <v>0</v>
      </c>
      <c r="H96" s="34">
        <f t="shared" si="12"/>
        <v>35500000</v>
      </c>
      <c r="I96" s="156">
        <f t="shared" si="13"/>
        <v>0</v>
      </c>
      <c r="K96" s="1"/>
    </row>
    <row r="97" spans="1:11" ht="15">
      <c r="A97" s="33">
        <v>13210127</v>
      </c>
      <c r="B97" s="314" t="s">
        <v>1202</v>
      </c>
      <c r="C97" s="314"/>
      <c r="D97" s="206">
        <v>195171000</v>
      </c>
      <c r="E97" s="34">
        <v>0</v>
      </c>
      <c r="F97" s="34">
        <v>0</v>
      </c>
      <c r="G97" s="34">
        <f t="shared" si="11"/>
        <v>0</v>
      </c>
      <c r="H97" s="34">
        <f t="shared" si="12"/>
        <v>195171000</v>
      </c>
      <c r="I97" s="156">
        <f t="shared" si="13"/>
        <v>0</v>
      </c>
      <c r="K97" s="1"/>
    </row>
    <row r="98" spans="1:11" ht="15">
      <c r="A98" s="33">
        <v>130118</v>
      </c>
      <c r="B98" s="314" t="s">
        <v>1157</v>
      </c>
      <c r="C98" s="314"/>
      <c r="D98" s="206">
        <v>5733000</v>
      </c>
      <c r="E98" s="34">
        <v>0</v>
      </c>
      <c r="F98" s="34">
        <v>0</v>
      </c>
      <c r="G98" s="34">
        <f t="shared" si="11"/>
        <v>0</v>
      </c>
      <c r="H98" s="34">
        <f t="shared" si="12"/>
        <v>5733000</v>
      </c>
      <c r="I98" s="156">
        <f t="shared" si="13"/>
        <v>0</v>
      </c>
      <c r="K98" s="1"/>
    </row>
    <row r="99" spans="1:11" ht="15">
      <c r="A99" s="33">
        <v>130108</v>
      </c>
      <c r="B99" s="238" t="s">
        <v>1193</v>
      </c>
      <c r="C99" s="239"/>
      <c r="D99" s="206">
        <v>698377592</v>
      </c>
      <c r="E99" s="206">
        <v>0</v>
      </c>
      <c r="F99" s="206">
        <v>0</v>
      </c>
      <c r="G99" s="34">
        <f t="shared" si="11"/>
        <v>0</v>
      </c>
      <c r="H99" s="34">
        <f t="shared" si="12"/>
        <v>698377592</v>
      </c>
      <c r="I99" s="156">
        <f t="shared" si="13"/>
        <v>0</v>
      </c>
      <c r="K99" s="1"/>
    </row>
    <row r="100" spans="1:11" ht="15">
      <c r="A100" s="33">
        <v>130107</v>
      </c>
      <c r="B100" s="311" t="s">
        <v>168</v>
      </c>
      <c r="C100" s="312"/>
      <c r="D100" s="206">
        <v>16453446.77</v>
      </c>
      <c r="E100" s="216">
        <v>0</v>
      </c>
      <c r="F100" s="34">
        <v>0</v>
      </c>
      <c r="G100" s="34">
        <f t="shared" si="11"/>
        <v>0</v>
      </c>
      <c r="H100" s="34">
        <f t="shared" si="12"/>
        <v>16453446.77</v>
      </c>
      <c r="I100" s="156">
        <f t="shared" si="13"/>
        <v>0</v>
      </c>
      <c r="K100" s="1"/>
    </row>
    <row r="101" spans="1:11" ht="15">
      <c r="A101" s="33">
        <v>130121</v>
      </c>
      <c r="B101" s="311" t="s">
        <v>1086</v>
      </c>
      <c r="C101" s="312"/>
      <c r="D101" s="206">
        <v>1600000000</v>
      </c>
      <c r="E101" s="34">
        <v>243312975</v>
      </c>
      <c r="F101" s="34">
        <v>0</v>
      </c>
      <c r="G101" s="34">
        <f t="shared" si="11"/>
        <v>243312975</v>
      </c>
      <c r="H101" s="34">
        <f t="shared" si="12"/>
        <v>1356687025</v>
      </c>
      <c r="I101" s="156">
        <f t="shared" si="13"/>
        <v>15.2070609375</v>
      </c>
      <c r="K101" s="1"/>
    </row>
    <row r="102" spans="1:9" ht="15">
      <c r="A102" s="205"/>
      <c r="B102" s="330" t="s">
        <v>1153</v>
      </c>
      <c r="C102" s="330"/>
      <c r="D102" s="172">
        <f>SUM(D91:D101)</f>
        <v>4062642038.77</v>
      </c>
      <c r="E102" s="172">
        <f>SUM(E91:E101)</f>
        <v>368557975</v>
      </c>
      <c r="F102" s="172">
        <f>SUM(F91:F101)</f>
        <v>7300000</v>
      </c>
      <c r="G102" s="172">
        <f>SUM(G91:G101)</f>
        <v>375857975</v>
      </c>
      <c r="H102" s="172">
        <f>SUM(H91:H101)</f>
        <v>3686784063.77</v>
      </c>
      <c r="I102" s="156">
        <f t="shared" si="13"/>
        <v>9.251565149308458</v>
      </c>
    </row>
    <row r="103" spans="1:9" ht="15.75" thickBot="1">
      <c r="A103" s="217"/>
      <c r="B103" s="328" t="s">
        <v>43</v>
      </c>
      <c r="C103" s="328"/>
      <c r="D103" s="219">
        <f>+D61+D65+D83+D89+D102</f>
        <v>29983894368.77</v>
      </c>
      <c r="E103" s="219">
        <f>+E61+E65+E83+E89+E102</f>
        <v>1625885264.16</v>
      </c>
      <c r="F103" s="219">
        <f>+F61+F65+F83+F89+F102</f>
        <v>1656412063.01</v>
      </c>
      <c r="G103" s="219">
        <f>+G61+G65+G83+G89+G102</f>
        <v>3282297327.17</v>
      </c>
      <c r="H103" s="219">
        <f>H61+H65+H83+H89+H102</f>
        <v>27267289061.600002</v>
      </c>
      <c r="I103" s="156">
        <f>G103/D103*100</f>
        <v>10.946867964518669</v>
      </c>
    </row>
    <row r="104" spans="1:9" ht="15.75" thickTop="1">
      <c r="A104" s="2"/>
      <c r="B104" s="16"/>
      <c r="C104" s="16"/>
      <c r="D104" s="14"/>
      <c r="E104" s="14"/>
      <c r="F104" s="14"/>
      <c r="G104" s="14"/>
      <c r="H104" s="14"/>
      <c r="I104" s="15"/>
    </row>
    <row r="105" spans="4:8" ht="15">
      <c r="D105" s="161"/>
      <c r="E105" s="161"/>
      <c r="F105" s="161"/>
      <c r="G105" s="161"/>
      <c r="H105" s="161"/>
    </row>
    <row r="106" ht="15">
      <c r="D106" s="161"/>
    </row>
    <row r="108" spans="4:5" ht="15">
      <c r="D108" s="161"/>
      <c r="E108" s="247"/>
    </row>
    <row r="109" spans="3:4" ht="15">
      <c r="C109" s="248"/>
      <c r="D109" s="161"/>
    </row>
    <row r="110" spans="4:7" ht="15">
      <c r="D110" s="161"/>
      <c r="E110" s="247"/>
      <c r="G110" s="3"/>
    </row>
    <row r="111" spans="4:7" ht="15">
      <c r="D111" s="161"/>
      <c r="E111" s="247"/>
      <c r="G111" s="3"/>
    </row>
    <row r="112" spans="3:5" ht="15">
      <c r="C112" s="248"/>
      <c r="D112" s="249"/>
      <c r="E112" s="247"/>
    </row>
    <row r="114" spans="4:5" ht="15">
      <c r="D114" s="161"/>
      <c r="E114" s="247"/>
    </row>
    <row r="115" ht="15">
      <c r="E115" s="247"/>
    </row>
    <row r="116" spans="4:5" ht="15">
      <c r="D116" s="161"/>
      <c r="E116" s="247"/>
    </row>
  </sheetData>
  <sheetProtection/>
  <mergeCells count="86">
    <mergeCell ref="A2:I2"/>
    <mergeCell ref="A3:I3"/>
    <mergeCell ref="A4:A5"/>
    <mergeCell ref="B4:C5"/>
    <mergeCell ref="D4:D5"/>
    <mergeCell ref="E4:E5"/>
    <mergeCell ref="F4:F5"/>
    <mergeCell ref="G4:G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8:C28"/>
    <mergeCell ref="B29:C29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2:C52"/>
    <mergeCell ref="D53:I53"/>
    <mergeCell ref="B54:C54"/>
    <mergeCell ref="B58:C58"/>
    <mergeCell ref="B60:C60"/>
    <mergeCell ref="B61:C61"/>
    <mergeCell ref="B62:C62"/>
    <mergeCell ref="A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100:C100"/>
    <mergeCell ref="B101:C101"/>
    <mergeCell ref="B102:C102"/>
    <mergeCell ref="B103:C103"/>
    <mergeCell ref="B88:C88"/>
    <mergeCell ref="B89:C89"/>
    <mergeCell ref="B90:C90"/>
    <mergeCell ref="B92:C92"/>
    <mergeCell ref="B97:C97"/>
    <mergeCell ref="B98:C98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2005-01-20T21:37:52Z</cp:lastPrinted>
  <dcterms:created xsi:type="dcterms:W3CDTF">2006-09-16T00:00:00Z</dcterms:created>
  <dcterms:modified xsi:type="dcterms:W3CDTF">2019-01-05T07:44:18Z</dcterms:modified>
  <cp:category/>
  <cp:version/>
  <cp:contentType/>
  <cp:contentStatus/>
</cp:coreProperties>
</file>